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Assignments\Mahagenco\MYT FY26-30\MERC Proceedings\Revised Petition\Tariff formats\"/>
    </mc:Choice>
  </mc:AlternateContent>
  <xr:revisionPtr revIDLastSave="0" documentId="13_ncr:1_{6D7D517B-CEDF-404D-B977-B4EC5BFDDAFD}" xr6:coauthVersionLast="47" xr6:coauthVersionMax="47" xr10:uidLastSave="{00000000-0000-0000-0000-000000000000}"/>
  <bookViews>
    <workbookView xWindow="-110" yWindow="-110" windowWidth="19420" windowHeight="10300" tabRatio="905" xr2:uid="{00000000-000D-0000-FFFF-FFFF00000000}"/>
  </bookViews>
  <sheets>
    <sheet name="Index" sheetId="57" r:id="rId1"/>
    <sheet name="AFC Reduction and AEC loss" sheetId="100" r:id="rId2"/>
    <sheet name="F1" sheetId="58" r:id="rId3"/>
    <sheet name="F1.1" sheetId="80" r:id="rId4"/>
    <sheet name="F2.1" sheetId="81" r:id="rId5"/>
    <sheet name="F2.2" sheetId="59" r:id="rId6"/>
    <sheet name="F2.3" sheetId="60" r:id="rId7"/>
    <sheet name="F2.4" sheetId="61" r:id="rId8"/>
    <sheet name="F2.5" sheetId="62" r:id="rId9"/>
    <sheet name="F2.6" sheetId="79" r:id="rId10"/>
    <sheet name="F2.7" sheetId="63" r:id="rId11"/>
    <sheet name="F2.8" sheetId="64" r:id="rId12"/>
    <sheet name="F3" sheetId="65" r:id="rId13"/>
    <sheet name="F3.1" sheetId="66" r:id="rId14"/>
    <sheet name="F3.2" sheetId="67" r:id="rId15"/>
    <sheet name="F3.3" sheetId="68" r:id="rId16"/>
    <sheet name="F3.4" sheetId="69" r:id="rId17"/>
    <sheet name="F4" sheetId="93" r:id="rId18"/>
    <sheet name="F4.1" sheetId="119" r:id="rId19"/>
    <sheet name="F4.2" sheetId="120" r:id="rId20"/>
    <sheet name="F4.3" sheetId="121" r:id="rId21"/>
    <sheet name="F5 (T)" sheetId="118" r:id="rId22"/>
    <sheet name="F5" sheetId="70" r:id="rId23"/>
    <sheet name="F5.1 (N)" sheetId="104" r:id="rId24"/>
    <sheet name="F6" sheetId="54" r:id="rId25"/>
    <sheet name="F7" sheetId="55" r:id="rId26"/>
    <sheet name="F8" sheetId="71" r:id="rId27"/>
    <sheet name="F9" sheetId="72" r:id="rId28"/>
    <sheet name="F9.1" sheetId="91" r:id="rId29"/>
    <sheet name="F9.3" sheetId="74" r:id="rId30"/>
    <sheet name="F9.2" sheetId="73" r:id="rId31"/>
    <sheet name="F10" sheetId="77" r:id="rId32"/>
    <sheet name="F11" sheetId="75" r:id="rId33"/>
    <sheet name="F12" sheetId="76" r:id="rId34"/>
    <sheet name="F13" sheetId="78" r:id="rId35"/>
    <sheet name="F14.1" sheetId="108" r:id="rId36"/>
    <sheet name="F14.2" sheetId="109" r:id="rId37"/>
    <sheet name="F14.3" sheetId="110" r:id="rId38"/>
    <sheet name="F14.4" sheetId="111" r:id="rId39"/>
    <sheet name="F14.5" sheetId="112" r:id="rId40"/>
    <sheet name="F14.6" sheetId="113" r:id="rId41"/>
    <sheet name="F14.7" sheetId="114" r:id="rId42"/>
    <sheet name="F14.8" sheetId="115" r:id="rId43"/>
    <sheet name="F14.9" sheetId="116" r:id="rId44"/>
    <sheet name="F15" sheetId="117" r:id="rId45"/>
    <sheet name="F16" sheetId="98" r:id="rId46"/>
    <sheet name="F17" sheetId="99" r:id="rId47"/>
    <sheet name="F18" sheetId="107" r:id="rId48"/>
    <sheet name="F19" sheetId="106"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a" localSheetId="21">#REF!</definedName>
    <definedName name="\a">#REF!</definedName>
    <definedName name="\b" localSheetId="21">#REF!</definedName>
    <definedName name="\b">#REF!</definedName>
    <definedName name="\c" localSheetId="21">#REF!</definedName>
    <definedName name="\c">#REF!</definedName>
    <definedName name="\d" localSheetId="21">#REF!</definedName>
    <definedName name="\d">#REF!</definedName>
    <definedName name="\e" localSheetId="21">#REF!</definedName>
    <definedName name="\e">#REF!</definedName>
    <definedName name="\f" localSheetId="21">#REF!</definedName>
    <definedName name="\f">#REF!</definedName>
    <definedName name="\g" localSheetId="21">#REF!</definedName>
    <definedName name="\g">#REF!</definedName>
    <definedName name="\j" localSheetId="21">#REF!</definedName>
    <definedName name="\j">#REF!</definedName>
    <definedName name="\k" localSheetId="21">#REF!</definedName>
    <definedName name="\k">#REF!</definedName>
    <definedName name="\m" localSheetId="21">#REF!</definedName>
    <definedName name="\m">#REF!</definedName>
    <definedName name="\n" localSheetId="21">#REF!</definedName>
    <definedName name="\n">#REF!</definedName>
    <definedName name="\o" localSheetId="21">#REF!</definedName>
    <definedName name="\o">#REF!</definedName>
    <definedName name="\p" localSheetId="21">#REF!</definedName>
    <definedName name="\p">#REF!</definedName>
    <definedName name="\s" localSheetId="21">#REF!</definedName>
    <definedName name="\s">#REF!</definedName>
    <definedName name="\t" localSheetId="21">#REF!</definedName>
    <definedName name="\t">#REF!</definedName>
    <definedName name="\w" localSheetId="21">#REF!</definedName>
    <definedName name="\w">#REF!</definedName>
    <definedName name="\x" localSheetId="21">#REF!</definedName>
    <definedName name="\x">#REF!</definedName>
    <definedName name="\z" localSheetId="21">#REF!</definedName>
    <definedName name="\z">#REF!</definedName>
    <definedName name="_" localSheetId="21">#REF!</definedName>
    <definedName name="_">#REF!</definedName>
    <definedName name="_.._D__D__D__D_" localSheetId="21">#REF!</definedName>
    <definedName name="_.._D__D__D__D_">#REF!</definedName>
    <definedName name="_________XL__ENTER_UNIT" localSheetId="21">#REF!</definedName>
    <definedName name="_________XL__ENTER_UNIT">#REF!</definedName>
    <definedName name="_______SCH6" localSheetId="21">'[1]04REL'!#REF!</definedName>
    <definedName name="_______SCH6">'[1]04REL'!#REF!</definedName>
    <definedName name="_______XL__ENTER_UNIT" localSheetId="21">#REF!</definedName>
    <definedName name="_______XL__ENTER_UNIT">#REF!</definedName>
    <definedName name="______SCH6" localSheetId="21">'[1]04REL'!#REF!</definedName>
    <definedName name="______SCH6">'[1]04REL'!#REF!</definedName>
    <definedName name="______XL__ENTER_UNIT" localSheetId="21">#REF!</definedName>
    <definedName name="______XL__ENTER_UNIT">#REF!</definedName>
    <definedName name="_____SCH6" localSheetId="21">'[1]04REL'!#REF!</definedName>
    <definedName name="_____SCH6">'[1]04REL'!#REF!</definedName>
    <definedName name="____SCH6" localSheetId="21">'[1]04REL'!#REF!</definedName>
    <definedName name="____SCH6">'[1]04REL'!#REF!</definedName>
    <definedName name="____XL__ENTER_UNIT" localSheetId="21">#REF!</definedName>
    <definedName name="____XL__ENTER_UNIT">#REF!</definedName>
    <definedName name="___INDEX_SHEET___ASAP_Utilities" localSheetId="21">#REF!</definedName>
    <definedName name="___INDEX_SHEET___ASAP_Utilities">#REF!</definedName>
    <definedName name="___SCH6" localSheetId="21">'[1]04REL'!#REF!</definedName>
    <definedName name="___SCH6">'[1]04REL'!#REF!</definedName>
    <definedName name="___XL__ENTER_UNIT" localSheetId="21">#REF!</definedName>
    <definedName name="___XL__ENTER_UNIT">#REF!</definedName>
    <definedName name="__123Graph_A" localSheetId="46" hidden="1">[2]CE!#REF!</definedName>
    <definedName name="__123Graph_A" localSheetId="17" hidden="1">[2]CE!#REF!</definedName>
    <definedName name="__123Graph_A" localSheetId="18" hidden="1">[2]CE!#REF!</definedName>
    <definedName name="__123Graph_A" localSheetId="21" hidden="1">[2]CE!#REF!</definedName>
    <definedName name="__123Graph_A" hidden="1">[2]CE!#REF!</definedName>
    <definedName name="__123Graph_ASTNPLF" localSheetId="46" hidden="1">[2]CE!#REF!</definedName>
    <definedName name="__123Graph_ASTNPLF" localSheetId="17" hidden="1">[2]CE!#REF!</definedName>
    <definedName name="__123Graph_ASTNPLF" localSheetId="18" hidden="1">[2]CE!#REF!</definedName>
    <definedName name="__123Graph_ASTNPLF" localSheetId="21" hidden="1">[2]CE!#REF!</definedName>
    <definedName name="__123Graph_ASTNPLF" hidden="1">[2]CE!#REF!</definedName>
    <definedName name="__123Graph_B" localSheetId="46" hidden="1">[2]CE!#REF!</definedName>
    <definedName name="__123Graph_B" localSheetId="17" hidden="1">[2]CE!#REF!</definedName>
    <definedName name="__123Graph_B" localSheetId="18" hidden="1">[2]CE!#REF!</definedName>
    <definedName name="__123Graph_B" localSheetId="21" hidden="1">[2]CE!#REF!</definedName>
    <definedName name="__123Graph_B" hidden="1">[2]CE!#REF!</definedName>
    <definedName name="__123Graph_BSTNPLF" localSheetId="46" hidden="1">[2]CE!#REF!</definedName>
    <definedName name="__123Graph_BSTNPLF" localSheetId="17" hidden="1">[2]CE!#REF!</definedName>
    <definedName name="__123Graph_BSTNPLF" localSheetId="18" hidden="1">[2]CE!#REF!</definedName>
    <definedName name="__123Graph_BSTNPLF" localSheetId="21" hidden="1">[2]CE!#REF!</definedName>
    <definedName name="__123Graph_BSTNPLF" hidden="1">[2]CE!#REF!</definedName>
    <definedName name="__123Graph_C" localSheetId="46" hidden="1">[2]CE!#REF!</definedName>
    <definedName name="__123Graph_C" localSheetId="17" hidden="1">[2]CE!#REF!</definedName>
    <definedName name="__123Graph_C" localSheetId="18" hidden="1">[2]CE!#REF!</definedName>
    <definedName name="__123Graph_C" localSheetId="21" hidden="1">[2]CE!#REF!</definedName>
    <definedName name="__123Graph_C" hidden="1">[2]CE!#REF!</definedName>
    <definedName name="__123Graph_CSTNPLF" localSheetId="46" hidden="1">[2]CE!#REF!</definedName>
    <definedName name="__123Graph_CSTNPLF" localSheetId="17" hidden="1">[2]CE!#REF!</definedName>
    <definedName name="__123Graph_CSTNPLF" localSheetId="18" hidden="1">[2]CE!#REF!</definedName>
    <definedName name="__123Graph_CSTNPLF" localSheetId="21" hidden="1">[2]CE!#REF!</definedName>
    <definedName name="__123Graph_CSTNPLF" hidden="1">[2]CE!#REF!</definedName>
    <definedName name="__123Graph_X" localSheetId="46" hidden="1">[2]CE!#REF!</definedName>
    <definedName name="__123Graph_X" localSheetId="17" hidden="1">[2]CE!#REF!</definedName>
    <definedName name="__123Graph_X" localSheetId="18" hidden="1">[2]CE!#REF!</definedName>
    <definedName name="__123Graph_X" localSheetId="21" hidden="1">[2]CE!#REF!</definedName>
    <definedName name="__123Graph_X" hidden="1">[2]CE!#REF!</definedName>
    <definedName name="__123Graph_XSTNPLF" localSheetId="46" hidden="1">[2]CE!#REF!</definedName>
    <definedName name="__123Graph_XSTNPLF" localSheetId="17" hidden="1">[2]CE!#REF!</definedName>
    <definedName name="__123Graph_XSTNPLF" localSheetId="18" hidden="1">[2]CE!#REF!</definedName>
    <definedName name="__123Graph_XSTNPLF" localSheetId="21" hidden="1">[2]CE!#REF!</definedName>
    <definedName name="__123Graph_XSTNPLF" hidden="1">[2]CE!#REF!</definedName>
    <definedName name="__DOWN_10__GOTO" localSheetId="21">#REF!</definedName>
    <definedName name="__DOWN_10__GOTO">#REF!</definedName>
    <definedName name="__ES84__EW84_0." localSheetId="21">#REF!</definedName>
    <definedName name="__ES84__EW84_0.">#REF!</definedName>
    <definedName name="__GOTO_EP84__AV" localSheetId="21">#REF!</definedName>
    <definedName name="__GOTO_EP84__AV">#REF!</definedName>
    <definedName name="__SCH6" localSheetId="21">'[1]04REL'!#REF!</definedName>
    <definedName name="__SCH6">'[1]04REL'!#REF!</definedName>
    <definedName name="__SUM_CS57..CS6" localSheetId="21">#REF!</definedName>
    <definedName name="__SUM_CS57..CS6">#REF!</definedName>
    <definedName name="__SUM_CS65..CS7" localSheetId="21">#REF!</definedName>
    <definedName name="__SUM_CS65..CS7">#REF!</definedName>
    <definedName name="__SUM_FQ20..FQ2" localSheetId="21">#REF!</definedName>
    <definedName name="__SUM_FQ20..FQ2">#REF!</definedName>
    <definedName name="__SUM_FQ28..FQ3" localSheetId="21">#REF!</definedName>
    <definedName name="__SUM_FQ28..FQ3">#REF!</definedName>
    <definedName name="__XL__ENTER_UNIT" localSheetId="21">#REF!</definedName>
    <definedName name="__XL__ENTER_UNIT">#REF!</definedName>
    <definedName name="_5" localSheetId="21">#REF!</definedName>
    <definedName name="_5">#REF!</definedName>
    <definedName name="_6" localSheetId="21">#REF!</definedName>
    <definedName name="_6">#REF!</definedName>
    <definedName name="_D___GOTO_GK112" localSheetId="21">#REF!</definedName>
    <definedName name="_D___GOTO_GK112">#REF!</definedName>
    <definedName name="_D___GOTO_GK56_" localSheetId="21">#REF!</definedName>
    <definedName name="_D___GOTO_GK56_">#REF!</definedName>
    <definedName name="_D__D___L___GOT" localSheetId="21">#REF!</definedName>
    <definedName name="_D__D___L___GOT">#REF!</definedName>
    <definedName name="_D__D__D___D__D" localSheetId="21">#REF!</definedName>
    <definedName name="_D__D__D___D__D">#REF!</definedName>
    <definedName name="_D_19__U_19_" localSheetId="21">#REF!</definedName>
    <definedName name="_D_19__U_19_">#REF!</definedName>
    <definedName name="_DOWN_9__RIGHT_" localSheetId="21">#REF!</definedName>
    <definedName name="_DOWN_9__RIGHT_">#REF!</definedName>
    <definedName name="_Fill" localSheetId="44" hidden="1">'F15'!#REF!</definedName>
    <definedName name="_Fill" localSheetId="46" hidden="1">#REF!</definedName>
    <definedName name="_Fill" localSheetId="17" hidden="1">#REF!</definedName>
    <definedName name="_Fill" localSheetId="18" hidden="1">#REF!</definedName>
    <definedName name="_Fill" localSheetId="21" hidden="1">#REF!</definedName>
    <definedName name="_Fill" hidden="1">#REF!</definedName>
    <definedName name="_xlnm._FilterDatabase" localSheetId="38" hidden="1">'F14.4'!$C$1:$C$60</definedName>
    <definedName name="_xlnm._FilterDatabase" localSheetId="4" hidden="1">'F2.1'!$A$10:$X$10</definedName>
    <definedName name="_xlnm._FilterDatabase" localSheetId="19" hidden="1">'F4.2'!$A$6:$BL$6</definedName>
    <definedName name="_FROM__R__R__08" localSheetId="21">#REF!</definedName>
    <definedName name="_FROM__R__R__08">#REF!</definedName>
    <definedName name="_FROM__R__R__16" localSheetId="21">#REF!</definedName>
    <definedName name="_FROM__R__R__16">#REF!</definedName>
    <definedName name="_GENERATION__R_" localSheetId="21">#REF!</definedName>
    <definedName name="_GENERATION__R_">#REF!</definedName>
    <definedName name="_GOTO_BT49__R__" localSheetId="21">#REF!</definedName>
    <definedName name="_GOTO_BT49__R__">#REF!</definedName>
    <definedName name="_GOTO_CF11__?__" localSheetId="21">#REF!</definedName>
    <definedName name="_GOTO_CF11__?__">#REF!</definedName>
    <definedName name="_GOTO_EO75__WEK" localSheetId="21">#REF!</definedName>
    <definedName name="_GOTO_EO75__WEK">#REF!</definedName>
    <definedName name="_GOTO_EP82__PEA" localSheetId="21">#REF!</definedName>
    <definedName name="_GOTO_EP82__PEA">#REF!</definedName>
    <definedName name="_GOTO_EP86__PER" localSheetId="21">#REF!</definedName>
    <definedName name="_GOTO_EP86__PER">#REF!</definedName>
    <definedName name="_GOTO_FO112__RV" localSheetId="21">#REF!</definedName>
    <definedName name="_GOTO_FO112__RV">#REF!</definedName>
    <definedName name="_GOTO_FO56__RV_" localSheetId="21">#REF!</definedName>
    <definedName name="_GOTO_FO56__RV_">#REF!</definedName>
    <definedName name="_HOME__GOTO_M14" localSheetId="21">#REF!</definedName>
    <definedName name="_HOME__GOTO_M14">#REF!</definedName>
    <definedName name="_Order1" hidden="1">255</definedName>
    <definedName name="_PLF__R__R___ES" localSheetId="21">#REF!</definedName>
    <definedName name="_PLF__R__R___ES">#REF!</definedName>
    <definedName name="_RV_DOWN_6__LEF" localSheetId="21">#REF!</definedName>
    <definedName name="_RV_DOWN_6__LEF">#REF!</definedName>
    <definedName name="_SCH6" localSheetId="21">'[1]04REL'!#REF!</definedName>
    <definedName name="_SCH6">'[1]04REL'!#REF!</definedName>
    <definedName name="_SUM_DI14..DI21" localSheetId="21">#REF!</definedName>
    <definedName name="_SUM_DI14..DI21">#REF!</definedName>
    <definedName name="_SUM_DI22..DI29" localSheetId="21">#REF!</definedName>
    <definedName name="_SUM_DI22..DI29">#REF!</definedName>
    <definedName name="_U__END__U__D__" localSheetId="21">#REF!</definedName>
    <definedName name="_U__END__U__D__">#REF!</definedName>
    <definedName name="_U__U__END__U__" localSheetId="21">#REF!</definedName>
    <definedName name="_U__U__END__U__">#REF!</definedName>
    <definedName name="_U__U__U__U__U_" localSheetId="21">#REF!</definedName>
    <definedName name="_U__U__U__U__U_">#REF!</definedName>
    <definedName name="_WGPD_GOTO_CO10" localSheetId="21">#REF!</definedName>
    <definedName name="_WGPD_GOTO_CO10">#REF!</definedName>
    <definedName name="A" localSheetId="21">#REF!</definedName>
    <definedName name="A">#REF!</definedName>
    <definedName name="ADL.63">[3]Addl.40!$A$38:$I$284</definedName>
    <definedName name="AuBhu0910">[4]Assumption_PwC!$D$7</definedName>
    <definedName name="AuBhu1011">[4]Assumption_PwC!$E$7</definedName>
    <definedName name="AuCha0910">[4]Assumption_PwC!$D$8</definedName>
    <definedName name="AV" localSheetId="21">#REF!</definedName>
    <definedName name="AV">#REF!</definedName>
    <definedName name="C_Data_1" localSheetId="21">'[5]2000-01'!#REF!</definedName>
    <definedName name="C_Data_1">'[5]2000-01'!#REF!</definedName>
    <definedName name="C_Data_2" localSheetId="21">'[5]2000-01'!#REF!</definedName>
    <definedName name="C_Data_2">'[5]2000-01'!#REF!</definedName>
    <definedName name="CM10_C_RIGHT___" localSheetId="21">#REF!</definedName>
    <definedName name="CM10_C_RIGHT___">#REF!</definedName>
    <definedName name="CV" localSheetId="21">#REF!</definedName>
    <definedName name="CV">#REF!</definedName>
    <definedName name="D">#N/A</definedName>
    <definedName name="Debt_Pct">[6]Assumptions!$B$13</definedName>
    <definedName name="dpc">'[7]dpc cost'!$D$1</definedName>
    <definedName name="E_315MVA_Addl_Page1" localSheetId="21">#REF!</definedName>
    <definedName name="E_315MVA_Addl_Page1">#REF!</definedName>
    <definedName name="E_315MVA_Addl_Page2" localSheetId="21">#REF!</definedName>
    <definedName name="E_315MVA_Addl_Page2">#REF!</definedName>
    <definedName name="Erai_level">[8]Level_qty!$B$8:$C$528</definedName>
    <definedName name="Esc_AGExp">[9]Assumptions!$B$4</definedName>
    <definedName name="Esc_Coal">[6]Assumptions!$B$6</definedName>
    <definedName name="Esc_DomGas">[6]Assumptions!$B$8</definedName>
    <definedName name="Esc_EmpExp">[6]Assumptions!$B$3</definedName>
    <definedName name="Esc_LNGas">[6]Assumptions!$B$9</definedName>
    <definedName name="Esc_Oil">[6]Assumptions!$B$7</definedName>
    <definedName name="Esc_OtherVarCharge">[6]Assumptions!$B$10</definedName>
    <definedName name="Esc_RMExp">[9]Assumptions!$B$5</definedName>
    <definedName name="EscAGExp" localSheetId="21">#REF!</definedName>
    <definedName name="EscAGExp">#REF!</definedName>
    <definedName name="EscCoal" localSheetId="21">#REF!</definedName>
    <definedName name="EscCoal">#REF!</definedName>
    <definedName name="EscDomGas" localSheetId="21">#REF!</definedName>
    <definedName name="EscDomGas">#REF!</definedName>
    <definedName name="EscEmpExp" localSheetId="21">#REF!</definedName>
    <definedName name="EscEmpExp">#REF!</definedName>
    <definedName name="EscLNGas" localSheetId="21">#REF!</definedName>
    <definedName name="EscLNGas">#REF!</definedName>
    <definedName name="EscOil" localSheetId="21">#REF!</definedName>
    <definedName name="EscOil">#REF!</definedName>
    <definedName name="EscOtherIncome" localSheetId="21">#REF!</definedName>
    <definedName name="EscOtherIncome">#REF!</definedName>
    <definedName name="EscOtherVarCharge" localSheetId="21">#REF!</definedName>
    <definedName name="EscOtherVarCharge">#REF!</definedName>
    <definedName name="EscRMExp" localSheetId="21">#REF!</definedName>
    <definedName name="EscRMExp">#REF!</definedName>
    <definedName name="FAX" localSheetId="21">#REF!</definedName>
    <definedName name="FAX">#REF!</definedName>
    <definedName name="FinCharge">[6]Assumptions!$B$25</definedName>
    <definedName name="Fuel_Exp_CY" localSheetId="21">#REF!</definedName>
    <definedName name="Fuel_Exp_CY">#REF!</definedName>
    <definedName name="Fuel_Exp_EY" localSheetId="21">#REF!</definedName>
    <definedName name="Fuel_Exp_EY">#REF!</definedName>
    <definedName name="Fuel_Exp_PY" localSheetId="21">#REF!</definedName>
    <definedName name="Fuel_Exp_PY">#REF!</definedName>
    <definedName name="GR" localSheetId="21">#REF!</definedName>
    <definedName name="GR">#REF!</definedName>
    <definedName name="IntRate_11">[6]Assumptions!$B$11</definedName>
    <definedName name="IntRate_12">[6]Assumptions!$B$12</definedName>
    <definedName name="IntRate_WC">[4]Assumptions!$B$16</definedName>
    <definedName name="IntRate_WC10">[6]Assumptions!$B$16</definedName>
    <definedName name="IntRate_WC11">[6]Assumptions!$B$17</definedName>
    <definedName name="IntRate_WC12">[6]Assumptions!$B$18</definedName>
    <definedName name="IntRate12" localSheetId="21">#REF!</definedName>
    <definedName name="IntRate12">#REF!</definedName>
    <definedName name="IntRate13" localSheetId="21">#REF!</definedName>
    <definedName name="IntRate13">#REF!</definedName>
    <definedName name="IntRateWC11" localSheetId="21">#REF!</definedName>
    <definedName name="IntRateWC11">#REF!</definedName>
    <definedName name="IntRateWC12" localSheetId="21">#REF!</definedName>
    <definedName name="IntRateWC12">#REF!</definedName>
    <definedName name="IntRateWC13" localSheetId="21">#REF!</definedName>
    <definedName name="IntRateWC13">#REF!</definedName>
    <definedName name="Intt_Charge_cY" localSheetId="21">#REF!,#REF!</definedName>
    <definedName name="Intt_Charge_cY">#REF!,#REF!</definedName>
    <definedName name="Intt_Charge_cy_1">'[10]A 3.7'!$H$35,'[10]A 3.7'!$H$44</definedName>
    <definedName name="Intt_Charge_eY" localSheetId="21">#REF!,#REF!</definedName>
    <definedName name="Intt_Charge_eY">#REF!,#REF!</definedName>
    <definedName name="Intt_Charge_ey_1">'[10]A 3.7'!$I$35,'[10]A 3.7'!$I$44</definedName>
    <definedName name="Intt_Charge_PY" localSheetId="21">#REF!,#REF!</definedName>
    <definedName name="Intt_Charge_PY">#REF!,#REF!</definedName>
    <definedName name="Intt_Charge_py_1">'[10]A 3.7'!$G$35,'[10]A 3.7'!$G$44</definedName>
    <definedName name="IsCircular" localSheetId="21">#REF!</definedName>
    <definedName name="IsCircular">#REF!</definedName>
    <definedName name="K2000_">#N/A</definedName>
    <definedName name="LTR_M_NEW" localSheetId="21">#REF!</definedName>
    <definedName name="LTR_M_NEW">#REF!</definedName>
    <definedName name="LTR_MOR" localSheetId="21">#REF!</definedName>
    <definedName name="LTR_MOR">#REF!</definedName>
    <definedName name="new" localSheetId="44" hidden="1">[11]CE!#REF!</definedName>
    <definedName name="new" localSheetId="46" hidden="1">[11]CE!#REF!</definedName>
    <definedName name="new" localSheetId="17" hidden="1">[11]CE!#REF!</definedName>
    <definedName name="new" localSheetId="18" hidden="1">[11]CE!#REF!</definedName>
    <definedName name="new" localSheetId="21" hidden="1">[11]CE!#REF!</definedName>
    <definedName name="new" hidden="1">[11]CE!#REF!</definedName>
    <definedName name="O" localSheetId="21">#REF!</definedName>
    <definedName name="O">#REF!</definedName>
    <definedName name="p" localSheetId="21">#REF!</definedName>
    <definedName name="p">#REF!</definedName>
    <definedName name="PAGE1" localSheetId="21">#REF!</definedName>
    <definedName name="PAGE1">#REF!</definedName>
    <definedName name="page10" localSheetId="21">#REF!</definedName>
    <definedName name="page10">#REF!</definedName>
    <definedName name="PAGE10_6" localSheetId="21">#REF!</definedName>
    <definedName name="PAGE10_6">#REF!</definedName>
    <definedName name="PAGE11_6" localSheetId="21">#REF!</definedName>
    <definedName name="PAGE11_6">#REF!</definedName>
    <definedName name="PAGE12_6" localSheetId="21">#REF!</definedName>
    <definedName name="PAGE12_6">#REF!</definedName>
    <definedName name="PAGE14" localSheetId="21">#REF!</definedName>
    <definedName name="PAGE14">#REF!</definedName>
    <definedName name="PAGE15" localSheetId="21">#REF!</definedName>
    <definedName name="PAGE15">#REF!</definedName>
    <definedName name="PAGE16" localSheetId="21">#REF!</definedName>
    <definedName name="PAGE16">#REF!</definedName>
    <definedName name="PAGE17" localSheetId="21">#REF!</definedName>
    <definedName name="PAGE17">#REF!</definedName>
    <definedName name="PAGE18" localSheetId="21">#REF!</definedName>
    <definedName name="PAGE18">#REF!</definedName>
    <definedName name="PAGE19" localSheetId="21">#REF!</definedName>
    <definedName name="PAGE19">#REF!</definedName>
    <definedName name="PAGE2" localSheetId="21">#REF!</definedName>
    <definedName name="PAGE2">#REF!</definedName>
    <definedName name="PAGE2_6" localSheetId="21">#REF!</definedName>
    <definedName name="PAGE2_6">#REF!</definedName>
    <definedName name="PAGE20" localSheetId="21">#REF!</definedName>
    <definedName name="PAGE20">#REF!</definedName>
    <definedName name="PAGE21" localSheetId="21">#REF!</definedName>
    <definedName name="PAGE21">#REF!</definedName>
    <definedName name="PAGE210" localSheetId="21">#REF!</definedName>
    <definedName name="PAGE210">#REF!</definedName>
    <definedName name="PAGE22" localSheetId="21">#REF!</definedName>
    <definedName name="PAGE22">#REF!</definedName>
    <definedName name="PAGE23" localSheetId="21">#REF!</definedName>
    <definedName name="PAGE23">#REF!</definedName>
    <definedName name="PAGE24" localSheetId="21">#REF!</definedName>
    <definedName name="PAGE24">#REF!</definedName>
    <definedName name="PAGE25" localSheetId="21">#REF!</definedName>
    <definedName name="PAGE25">#REF!</definedName>
    <definedName name="PAGE26" localSheetId="21">#REF!</definedName>
    <definedName name="PAGE26">#REF!</definedName>
    <definedName name="PAGE27" localSheetId="21">#REF!</definedName>
    <definedName name="PAGE27">#REF!</definedName>
    <definedName name="PAGE28" localSheetId="21">#REF!</definedName>
    <definedName name="PAGE28">#REF!</definedName>
    <definedName name="PAGE29" localSheetId="21">#REF!</definedName>
    <definedName name="PAGE29">#REF!</definedName>
    <definedName name="PAGE3_6" localSheetId="21">#REF!</definedName>
    <definedName name="PAGE3_6">#REF!</definedName>
    <definedName name="page34" localSheetId="21">#REF!</definedName>
    <definedName name="page34">#REF!</definedName>
    <definedName name="Page35" localSheetId="21">#REF!</definedName>
    <definedName name="Page35">#REF!</definedName>
    <definedName name="PAGE4_6" localSheetId="21">#REF!</definedName>
    <definedName name="PAGE4_6">#REF!</definedName>
    <definedName name="PAGE5_6" localSheetId="21">#REF!</definedName>
    <definedName name="PAGE5_6">#REF!</definedName>
    <definedName name="page50" localSheetId="21">#REF!</definedName>
    <definedName name="page50">#REF!</definedName>
    <definedName name="page51" localSheetId="21">#REF!</definedName>
    <definedName name="page51">#REF!</definedName>
    <definedName name="page52" localSheetId="21">#REF!</definedName>
    <definedName name="page52">#REF!</definedName>
    <definedName name="PAGE6" localSheetId="21">#REF!</definedName>
    <definedName name="PAGE6">#REF!</definedName>
    <definedName name="PAGE6_6" localSheetId="21">#REF!</definedName>
    <definedName name="PAGE6_6">#REF!</definedName>
    <definedName name="PAGE7" localSheetId="21">#REF!</definedName>
    <definedName name="PAGE7">#REF!</definedName>
    <definedName name="PAGE7_6" localSheetId="21">#REF!</definedName>
    <definedName name="PAGE7_6">#REF!</definedName>
    <definedName name="PAGE8" localSheetId="21">#REF!</definedName>
    <definedName name="PAGE8">#REF!</definedName>
    <definedName name="PAGE8_6U1A" localSheetId="21">#REF!</definedName>
    <definedName name="PAGE8_6U1A">#REF!</definedName>
    <definedName name="PAGE8_6U1B" localSheetId="21">#REF!</definedName>
    <definedName name="PAGE8_6U1B">#REF!</definedName>
    <definedName name="PAGE8_6U2A" localSheetId="21">#REF!</definedName>
    <definedName name="PAGE8_6U2A">#REF!</definedName>
    <definedName name="PAGE8_6U2B" localSheetId="21">#REF!</definedName>
    <definedName name="PAGE8_6U2B">#REF!</definedName>
    <definedName name="PAGE8_6U3A" localSheetId="21">#REF!</definedName>
    <definedName name="PAGE8_6U3A">#REF!</definedName>
    <definedName name="PAGE8_6U3B" localSheetId="21">#REF!</definedName>
    <definedName name="PAGE8_6U3B">#REF!</definedName>
    <definedName name="PAGE9" localSheetId="21">#REF!</definedName>
    <definedName name="PAGE9">#REF!</definedName>
    <definedName name="PAGE9_6" localSheetId="21">#REF!</definedName>
    <definedName name="PAGE9_6">#REF!</definedName>
    <definedName name="Pop_Ratio" localSheetId="21">#REF!</definedName>
    <definedName name="Pop_Ratio">#REF!</definedName>
    <definedName name="PRF_1" localSheetId="21">#REF!</definedName>
    <definedName name="PRF_1">#REF!</definedName>
    <definedName name="PRF_2_P1" localSheetId="21">#REF!</definedName>
    <definedName name="PRF_2_P1">#REF!</definedName>
    <definedName name="PRF_2_P2" localSheetId="21">#REF!</definedName>
    <definedName name="PRF_2_P2">#REF!</definedName>
    <definedName name="PRF_3_AN1" localSheetId="21">#REF!</definedName>
    <definedName name="PRF_3_AN1">#REF!</definedName>
    <definedName name="PRF_3_AN2" localSheetId="21">#REF!</definedName>
    <definedName name="PRF_3_AN2">#REF!</definedName>
    <definedName name="PRF_3_AN3" localSheetId="21">#REF!</definedName>
    <definedName name="PRF_3_AN3">#REF!</definedName>
    <definedName name="_xlnm.Print_Area" localSheetId="2">'F1'!$A$1:$X$30</definedName>
    <definedName name="_xlnm.Print_Area" localSheetId="3">'F1.1'!$A$1:$Q$18</definedName>
    <definedName name="_xlnm.Print_Area" localSheetId="32">'F11'!$A$1:$T$29</definedName>
    <definedName name="_xlnm.Print_Area" localSheetId="38">'F14.4'!$A$1:$N$16</definedName>
    <definedName name="_xlnm.Print_Area" localSheetId="40">'F14.6'!$A$1:$C$41</definedName>
    <definedName name="_xlnm.Print_Area" localSheetId="46">'F17'!$A$1:$J$69</definedName>
    <definedName name="_xlnm.Print_Area" localSheetId="47">'F18'!$A$1:$N$29</definedName>
    <definedName name="_xlnm.Print_Area" localSheetId="4">'F2.1'!$A$1:$X$74</definedName>
    <definedName name="_xlnm.Print_Area" localSheetId="5">'F2.2'!$A$1:$X$210</definedName>
    <definedName name="_xlnm.Print_Area" localSheetId="6">'F2.3'!$A$1:$U$153</definedName>
    <definedName name="_xlnm.Print_Area" localSheetId="7">'F2.4'!$A$1:$N$74</definedName>
    <definedName name="_xlnm.Print_Area" localSheetId="8">'F2.5'!$A$1:$T$24</definedName>
    <definedName name="_xlnm.Print_Area" localSheetId="9">'F2.6'!$A$1:$U$19</definedName>
    <definedName name="_xlnm.Print_Area" localSheetId="10">'F2.7'!$A$1:$N$36</definedName>
    <definedName name="_xlnm.Print_Area" localSheetId="11">'F2.8'!$A$1:$P$28</definedName>
    <definedName name="_xlnm.Print_Area" localSheetId="12">'F3'!$A$1:$X$32</definedName>
    <definedName name="_xlnm.Print_Area" localSheetId="13">'F3.1'!$A$1:$AB$69</definedName>
    <definedName name="_xlnm.Print_Area" localSheetId="14">'F3.2'!$A$1:$M$79</definedName>
    <definedName name="_xlnm.Print_Area" localSheetId="18">'F4.1'!$A$1:$S$77</definedName>
    <definedName name="_xlnm.Print_Area" localSheetId="19">'F4.2'!$A$1:$BD$102</definedName>
    <definedName name="_xlnm.Print_Area" localSheetId="20">'F4.3'!$A$1:$N$765</definedName>
    <definedName name="_xlnm.Print_Area" localSheetId="22">'F5'!$A$1:$AG$166</definedName>
    <definedName name="_xlnm.Print_Area" localSheetId="21">'F5 (T)'!$A$1:$AG$166</definedName>
    <definedName name="_xlnm.Print_Area" localSheetId="23">'F5.1 (N)'!$A$1:$AD$91</definedName>
    <definedName name="_xlnm.Print_Area" localSheetId="24">'F6'!$A$1:$R$325</definedName>
    <definedName name="_xlnm.Print_Area" localSheetId="25">'F7'!$A$1:$R$45</definedName>
    <definedName name="_xlnm.Print_Area" localSheetId="27">'F9'!$A$1:$N$31</definedName>
    <definedName name="_xlnm.Print_Area" localSheetId="0">Index!$A$1:$D$58</definedName>
    <definedName name="_xlnm.Print_Area">#REF!</definedName>
    <definedName name="PRINT_AREA_MI" localSheetId="21">#REF!</definedName>
    <definedName name="PRINT_AREA_MI">#REF!</definedName>
    <definedName name="_xlnm.Print_Titles" localSheetId="4">'F2.1'!$B:$D,'F2.1'!$1:$9</definedName>
    <definedName name="_xlnm.Print_Titles" localSheetId="5">'F2.2'!$B:$D,'F2.2'!$1:$8</definedName>
    <definedName name="_xlnm.Print_Titles" localSheetId="6">'F2.3'!$B:$D,'F2.3'!$1:$9</definedName>
    <definedName name="_xlnm.Print_Titles" localSheetId="7">'F2.4'!$2:$4</definedName>
    <definedName name="_xlnm.Print_Titles" localSheetId="8">'F2.5'!$B:$D,'F2.5'!$2:$4</definedName>
    <definedName name="_xlnm.Print_Titles" localSheetId="18">'F4.1'!$A:$C,'F4.1'!$1:$6</definedName>
    <definedName name="_xlnm.Print_Titles" localSheetId="19">'F4.2'!$A:$B,'F4.2'!$1:$6</definedName>
    <definedName name="_xlnm.Print_Titles" localSheetId="20">'F4.3'!$A:$B,'F4.3'!$1:$6</definedName>
    <definedName name="q">'[12]A 3.7'!$I$35,'[12]A 3.7'!$I$44</definedName>
    <definedName name="S" localSheetId="21">#REF!</definedName>
    <definedName name="S">#REF!</definedName>
    <definedName name="SECOAL" localSheetId="21">#REF!</definedName>
    <definedName name="SECOAL">#REF!</definedName>
    <definedName name="SEOREP" localSheetId="21">#REF!</definedName>
    <definedName name="SEOREP">#REF!</definedName>
    <definedName name="SEREPORT" localSheetId="21">#REF!</definedName>
    <definedName name="SEREPORT">#REF!</definedName>
    <definedName name="shft1">[7]SUMMERY!$P$1</definedName>
    <definedName name="shftI">[13]SUMMERY!$P$1</definedName>
    <definedName name="t" localSheetId="21">#REF!</definedName>
    <definedName name="t">#REF!</definedName>
    <definedName name="TaxPaid10">[6]Assumptions!$B$22</definedName>
    <definedName name="TaxRate11">[6]Assumptions!$B$20</definedName>
    <definedName name="Taxrate12" localSheetId="21">#REF!</definedName>
    <definedName name="Taxrate12">#REF!</definedName>
    <definedName name="TotalRoE10">[6]Assumptions!$B$23</definedName>
    <definedName name="tripping" localSheetId="21">#REF!</definedName>
    <definedName name="tripping">#REF!</definedName>
    <definedName name="uNIT1" localSheetId="21">#REF!</definedName>
    <definedName name="uNIT1">#REF!</definedName>
    <definedName name="uNIT2" localSheetId="21">#REF!</definedName>
    <definedName name="uNIT2">#REF!</definedName>
    <definedName name="uNIT3" localSheetId="21">#REF!</definedName>
    <definedName name="uNIT3">#REF!</definedName>
    <definedName name="W" localSheetId="21">#REF!</definedName>
    <definedName name="W">#REF!</definedName>
    <definedName name="WEEK_1A" localSheetId="21">#REF!</definedName>
    <definedName name="WEEK_1A">#REF!</definedName>
    <definedName name="WEEK_1B" localSheetId="21">#REF!</definedName>
    <definedName name="WEEK_1B">#REF!</definedName>
    <definedName name="WEEK_2A" localSheetId="21">#REF!</definedName>
    <definedName name="WEEK_2A">#REF!</definedName>
    <definedName name="WEEK_2B" localSheetId="21">#REF!</definedName>
    <definedName name="WEEK_2B">#REF!</definedName>
    <definedName name="Working_capital_Rate_of_Interest_for_FY_10_11">[4]Assumption_PwC!$C$116</definedName>
    <definedName name="X1_" localSheetId="21">#REF!</definedName>
    <definedName name="X1_">#REF!</definedName>
    <definedName name="X11__?___QUIT_" localSheetId="21">#REF!</definedName>
    <definedName name="X11__?___QUIT_">#REF!</definedName>
    <definedName name="xxxx" localSheetId="46" hidden="1">[14]CE!#REF!</definedName>
    <definedName name="xxxx" localSheetId="17" hidden="1">[14]CE!#REF!</definedName>
    <definedName name="xxxx" localSheetId="18" hidden="1">[14]CE!#REF!</definedName>
    <definedName name="xxxx" localSheetId="21" hidden="1">[14]CE!#REF!</definedName>
    <definedName name="xxxx" hidden="1">[14]CE!#REF!</definedName>
    <definedName name="YEAR" localSheetId="21">#REF!</definedName>
    <definedName name="YEAR">#REF!</definedName>
    <definedName name="Year1" localSheetId="21">#REF!</definedName>
    <definedName name="Year1">#REF!</definedName>
    <definedName name="Z_A05A0254_2D25_4269_AA4F_D166F945C039_.wvu.PrintArea" localSheetId="3" hidden="1">'F1.1'!$A$1:$H$19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7" i="119" l="1"/>
  <c r="S77" i="119" s="1"/>
  <c r="G77" i="119"/>
  <c r="G76" i="119"/>
  <c r="P76" i="119"/>
  <c r="S76" i="119" s="1"/>
  <c r="P75" i="119"/>
  <c r="S75" i="119" s="1"/>
  <c r="G75" i="119"/>
  <c r="S74" i="119"/>
  <c r="G74" i="119"/>
  <c r="P74" i="119"/>
  <c r="P73" i="119"/>
  <c r="S73" i="119" s="1"/>
  <c r="G73" i="119"/>
  <c r="P72" i="119"/>
  <c r="S72" i="119" s="1"/>
  <c r="G72" i="119"/>
  <c r="P71" i="119"/>
  <c r="S71" i="119" s="1"/>
  <c r="G71" i="119"/>
  <c r="D71" i="119"/>
  <c r="D72" i="119" s="1"/>
  <c r="D73" i="119" s="1"/>
  <c r="D74" i="119" s="1"/>
  <c r="D75" i="119" s="1"/>
  <c r="D76" i="119" s="1"/>
  <c r="D77" i="119" s="1"/>
  <c r="P70" i="119"/>
  <c r="S70" i="119" s="1"/>
  <c r="G70" i="119"/>
  <c r="P69" i="119"/>
  <c r="S69" i="119" s="1"/>
  <c r="G69" i="119"/>
  <c r="G68" i="119"/>
  <c r="D69" i="119"/>
  <c r="D70" i="119" s="1"/>
  <c r="P67" i="119"/>
  <c r="S67" i="119" s="1"/>
  <c r="G67" i="119"/>
  <c r="S66" i="119"/>
  <c r="G66" i="119"/>
  <c r="P66" i="119"/>
  <c r="P65" i="119"/>
  <c r="S65" i="119" s="1"/>
  <c r="G65" i="119"/>
  <c r="D65" i="119"/>
  <c r="D66" i="119" s="1"/>
  <c r="D67" i="119" s="1"/>
  <c r="P64" i="119"/>
  <c r="S64" i="119" s="1"/>
  <c r="G64" i="119"/>
  <c r="P63" i="119"/>
  <c r="S63" i="119" s="1"/>
  <c r="G63" i="119"/>
  <c r="D63" i="119"/>
  <c r="P62" i="119"/>
  <c r="S62" i="119" s="1"/>
  <c r="G62" i="119"/>
  <c r="P61" i="119"/>
  <c r="S61" i="119" s="1"/>
  <c r="G61" i="119"/>
  <c r="G60" i="119"/>
  <c r="D61" i="119"/>
  <c r="P59" i="119"/>
  <c r="S59" i="119" s="1"/>
  <c r="G59" i="119"/>
  <c r="S58" i="119"/>
  <c r="G58" i="119"/>
  <c r="P58" i="119"/>
  <c r="P57" i="119"/>
  <c r="S57" i="119" s="1"/>
  <c r="G57" i="119"/>
  <c r="P56" i="119"/>
  <c r="S56" i="119" s="1"/>
  <c r="G56" i="119"/>
  <c r="P55" i="119"/>
  <c r="S55" i="119" s="1"/>
  <c r="G55" i="119"/>
  <c r="D55" i="119"/>
  <c r="D56" i="119" s="1"/>
  <c r="D57" i="119" s="1"/>
  <c r="D58" i="119" s="1"/>
  <c r="D59" i="119" s="1"/>
  <c r="P54" i="119"/>
  <c r="S54" i="119" s="1"/>
  <c r="G54" i="119"/>
  <c r="D54" i="119"/>
  <c r="P53" i="119"/>
  <c r="S53" i="119" s="1"/>
  <c r="G53" i="119"/>
  <c r="G52" i="119"/>
  <c r="P52" i="119"/>
  <c r="S52" i="119" s="1"/>
  <c r="P51" i="119"/>
  <c r="S51" i="119" s="1"/>
  <c r="G51" i="119"/>
  <c r="G50" i="119"/>
  <c r="P50" i="119"/>
  <c r="S50" i="119" s="1"/>
  <c r="P49" i="119"/>
  <c r="S49" i="119" s="1"/>
  <c r="G49" i="119"/>
  <c r="D50" i="119"/>
  <c r="D51" i="119" s="1"/>
  <c r="D52" i="119" s="1"/>
  <c r="P48" i="119"/>
  <c r="S48" i="119" s="1"/>
  <c r="G48" i="119"/>
  <c r="P47" i="119"/>
  <c r="S47" i="119" s="1"/>
  <c r="G47" i="119"/>
  <c r="D47" i="119"/>
  <c r="D48" i="119" s="1"/>
  <c r="P46" i="119"/>
  <c r="S46" i="119" s="1"/>
  <c r="G46" i="119"/>
  <c r="P45" i="119"/>
  <c r="S45" i="119" s="1"/>
  <c r="G45" i="119"/>
  <c r="G44" i="119"/>
  <c r="D44" i="119"/>
  <c r="P43" i="119"/>
  <c r="S43" i="119" s="1"/>
  <c r="G43" i="119"/>
  <c r="D45" i="119"/>
  <c r="S42" i="119"/>
  <c r="G42" i="119"/>
  <c r="P42" i="119"/>
  <c r="P41" i="119"/>
  <c r="S41" i="119" s="1"/>
  <c r="G41" i="119"/>
  <c r="D41" i="119"/>
  <c r="P40" i="119"/>
  <c r="S40" i="119" s="1"/>
  <c r="G40" i="119"/>
  <c r="P39" i="119"/>
  <c r="S39" i="119" s="1"/>
  <c r="G39" i="119"/>
  <c r="D39" i="119"/>
  <c r="P38" i="119"/>
  <c r="S38" i="119" s="1"/>
  <c r="G38" i="119"/>
  <c r="D42" i="119"/>
  <c r="P37" i="119"/>
  <c r="S37" i="119" s="1"/>
  <c r="G37" i="119"/>
  <c r="G36" i="119"/>
  <c r="D36" i="119"/>
  <c r="P35" i="119"/>
  <c r="S35" i="119" s="1"/>
  <c r="G35" i="119"/>
  <c r="G34" i="119"/>
  <c r="P34" i="119"/>
  <c r="S34" i="119" s="1"/>
  <c r="P33" i="119"/>
  <c r="S33" i="119" s="1"/>
  <c r="G33" i="119"/>
  <c r="D34" i="119"/>
  <c r="P32" i="119"/>
  <c r="S32" i="119" s="1"/>
  <c r="G32" i="119"/>
  <c r="P31" i="119"/>
  <c r="S31" i="119" s="1"/>
  <c r="G31" i="119"/>
  <c r="P30" i="119"/>
  <c r="S30" i="119" s="1"/>
  <c r="G30" i="119"/>
  <c r="P29" i="119"/>
  <c r="S29" i="119" s="1"/>
  <c r="G29" i="119"/>
  <c r="G28" i="119"/>
  <c r="D28" i="119"/>
  <c r="D29" i="119" s="1"/>
  <c r="D30" i="119" s="1"/>
  <c r="D31" i="119" s="1"/>
  <c r="D32" i="119" s="1"/>
  <c r="P27" i="119"/>
  <c r="S27" i="119" s="1"/>
  <c r="G27" i="119"/>
  <c r="D27" i="119"/>
  <c r="P26" i="119"/>
  <c r="S26" i="119" s="1"/>
  <c r="G26" i="119"/>
  <c r="P25" i="119"/>
  <c r="S25" i="119" s="1"/>
  <c r="G25" i="119"/>
  <c r="D25" i="119"/>
  <c r="P24" i="119"/>
  <c r="S24" i="119" s="1"/>
  <c r="G24" i="119"/>
  <c r="P23" i="119"/>
  <c r="S23" i="119" s="1"/>
  <c r="G23" i="119"/>
  <c r="P22" i="119"/>
  <c r="S22" i="119" s="1"/>
  <c r="G22" i="119"/>
  <c r="P21" i="119"/>
  <c r="S21" i="119" s="1"/>
  <c r="G21" i="119"/>
  <c r="G20" i="119"/>
  <c r="P20" i="119"/>
  <c r="S20" i="119" s="1"/>
  <c r="P19" i="119"/>
  <c r="S19" i="119" s="1"/>
  <c r="G19" i="119"/>
  <c r="P18" i="119"/>
  <c r="S18" i="119" s="1"/>
  <c r="G18" i="119"/>
  <c r="P17" i="119"/>
  <c r="S17" i="119" s="1"/>
  <c r="G17" i="119"/>
  <c r="D17" i="119"/>
  <c r="D18" i="119" s="1"/>
  <c r="D19" i="119" s="1"/>
  <c r="D20" i="119" s="1"/>
  <c r="D21" i="119" s="1"/>
  <c r="D22" i="119" s="1"/>
  <c r="D23" i="119" s="1"/>
  <c r="P16" i="119"/>
  <c r="S16" i="119" s="1"/>
  <c r="G16" i="119"/>
  <c r="P15" i="119"/>
  <c r="S15" i="119" s="1"/>
  <c r="G15" i="119"/>
  <c r="P14" i="119"/>
  <c r="S14" i="119" s="1"/>
  <c r="G14" i="119"/>
  <c r="P13" i="119"/>
  <c r="S13" i="119" s="1"/>
  <c r="G13" i="119"/>
  <c r="P12" i="119"/>
  <c r="S12" i="119" s="1"/>
  <c r="G12" i="119"/>
  <c r="P11" i="119"/>
  <c r="S11" i="119" s="1"/>
  <c r="G11" i="119"/>
  <c r="S10" i="119"/>
  <c r="P10" i="119"/>
  <c r="G10" i="119"/>
  <c r="AV104" i="120"/>
  <c r="AU104" i="120"/>
  <c r="AT104" i="120"/>
  <c r="BA102" i="120"/>
  <c r="AZ102" i="120"/>
  <c r="AY102" i="120"/>
  <c r="AX102" i="120"/>
  <c r="AW102" i="120"/>
  <c r="AV102" i="120"/>
  <c r="AU102" i="120"/>
  <c r="AT102" i="120"/>
  <c r="AQ102" i="120"/>
  <c r="AO102" i="120"/>
  <c r="AB102" i="120"/>
  <c r="AA102" i="120"/>
  <c r="Z102" i="120"/>
  <c r="Y102" i="120"/>
  <c r="X102" i="120"/>
  <c r="W102" i="120"/>
  <c r="V102" i="120"/>
  <c r="U102" i="120"/>
  <c r="P102" i="120"/>
  <c r="K101" i="120"/>
  <c r="AS99" i="120"/>
  <c r="T99" i="120"/>
  <c r="AS98" i="120"/>
  <c r="V98" i="120"/>
  <c r="T98" i="120"/>
  <c r="AS97" i="120"/>
  <c r="V97" i="120"/>
  <c r="T97" i="120"/>
  <c r="AS96" i="120"/>
  <c r="U96" i="120"/>
  <c r="T96" i="120"/>
  <c r="AS95" i="120"/>
  <c r="U95" i="120"/>
  <c r="T95" i="120"/>
  <c r="K95" i="120"/>
  <c r="AS94" i="120"/>
  <c r="T94" i="120"/>
  <c r="K94" i="120"/>
  <c r="AS93" i="120"/>
  <c r="AP93" i="120"/>
  <c r="Q93" i="120"/>
  <c r="T93" i="120" s="1"/>
  <c r="K93" i="120"/>
  <c r="AP92" i="120"/>
  <c r="AP102" i="120" s="1"/>
  <c r="T92" i="120"/>
  <c r="Q92" i="120"/>
  <c r="K92" i="120"/>
  <c r="AP91" i="120"/>
  <c r="AS91" i="120" s="1"/>
  <c r="Q91" i="120"/>
  <c r="T91" i="120" s="1"/>
  <c r="K91" i="120"/>
  <c r="AS90" i="120"/>
  <c r="AQ90" i="120"/>
  <c r="R90" i="120"/>
  <c r="T90" i="120" s="1"/>
  <c r="K90" i="120"/>
  <c r="AR89" i="120"/>
  <c r="AS89" i="120" s="1"/>
  <c r="S89" i="120"/>
  <c r="T89" i="120" s="1"/>
  <c r="K89" i="120"/>
  <c r="AP88" i="120"/>
  <c r="AS88" i="120" s="1"/>
  <c r="Q88" i="120"/>
  <c r="T88" i="120" s="1"/>
  <c r="K88" i="120"/>
  <c r="AS87" i="120"/>
  <c r="T87" i="120"/>
  <c r="K87" i="120"/>
  <c r="AS86" i="120"/>
  <c r="T86" i="120"/>
  <c r="K86" i="120"/>
  <c r="AS85" i="120"/>
  <c r="T85" i="120"/>
  <c r="AS84" i="120"/>
  <c r="T84" i="120"/>
  <c r="AS83" i="120"/>
  <c r="T83" i="120"/>
  <c r="AS82" i="120"/>
  <c r="T82" i="120"/>
  <c r="K82" i="120"/>
  <c r="AS81" i="120"/>
  <c r="T81" i="120"/>
  <c r="AS80" i="120"/>
  <c r="T80" i="120"/>
  <c r="AS79" i="120"/>
  <c r="T79" i="120"/>
  <c r="AS78" i="120"/>
  <c r="T78" i="120"/>
  <c r="AS77" i="120"/>
  <c r="T77" i="120"/>
  <c r="AS76" i="120"/>
  <c r="T76" i="120"/>
  <c r="F76" i="120"/>
  <c r="F77" i="120" s="1"/>
  <c r="K77" i="120" s="1"/>
  <c r="E76" i="120"/>
  <c r="E77" i="120" s="1"/>
  <c r="D76" i="120"/>
  <c r="D77" i="120" s="1"/>
  <c r="AS75" i="120"/>
  <c r="T75" i="120"/>
  <c r="K75" i="120"/>
  <c r="H75" i="120"/>
  <c r="G75" i="120"/>
  <c r="AS74" i="120"/>
  <c r="T74" i="120"/>
  <c r="E74" i="120"/>
  <c r="D74" i="120"/>
  <c r="AS73" i="120"/>
  <c r="T73" i="120"/>
  <c r="K73" i="120"/>
  <c r="H73" i="120"/>
  <c r="H72" i="120" s="1"/>
  <c r="F73" i="120"/>
  <c r="F74" i="120" s="1"/>
  <c r="K74" i="120" s="1"/>
  <c r="E73" i="120"/>
  <c r="D73" i="120"/>
  <c r="AS72" i="120"/>
  <c r="T72" i="120"/>
  <c r="K72" i="120"/>
  <c r="G72" i="120"/>
  <c r="AS71" i="120"/>
  <c r="T71" i="120"/>
  <c r="F71" i="120"/>
  <c r="K71" i="120" s="1"/>
  <c r="E71" i="120"/>
  <c r="D71" i="120"/>
  <c r="AS70" i="120"/>
  <c r="T70" i="120"/>
  <c r="K70" i="120"/>
  <c r="H70" i="120"/>
  <c r="G70" i="120"/>
  <c r="AP69" i="120"/>
  <c r="AS69" i="120" s="1"/>
  <c r="Q69" i="120"/>
  <c r="T69" i="120" s="1"/>
  <c r="K69" i="120"/>
  <c r="H69" i="120"/>
  <c r="F69" i="120"/>
  <c r="E69" i="120"/>
  <c r="D69" i="120"/>
  <c r="AS68" i="120"/>
  <c r="T68" i="120"/>
  <c r="K68" i="120"/>
  <c r="H68" i="120"/>
  <c r="G68" i="120"/>
  <c r="AS67" i="120"/>
  <c r="T67" i="120"/>
  <c r="F67" i="120"/>
  <c r="K67" i="120" s="1"/>
  <c r="E67" i="120"/>
  <c r="D67" i="120"/>
  <c r="AS66" i="120"/>
  <c r="T66" i="120"/>
  <c r="K66" i="120"/>
  <c r="H66" i="120"/>
  <c r="G66" i="120"/>
  <c r="AS65" i="120"/>
  <c r="T65" i="120"/>
  <c r="AQ64" i="120"/>
  <c r="AS64" i="120" s="1"/>
  <c r="Q64" i="120"/>
  <c r="Q102" i="120" s="1"/>
  <c r="AR63" i="120"/>
  <c r="AS63" i="120" s="1"/>
  <c r="S63" i="120"/>
  <c r="S102" i="120" s="1"/>
  <c r="F63" i="120"/>
  <c r="K63" i="120" s="1"/>
  <c r="AS62" i="120"/>
  <c r="T62" i="120"/>
  <c r="F62" i="120"/>
  <c r="K62" i="120" s="1"/>
  <c r="E62" i="120"/>
  <c r="E63" i="120" s="1"/>
  <c r="E64" i="120" s="1"/>
  <c r="E65" i="120" s="1"/>
  <c r="D62" i="120"/>
  <c r="D63" i="120" s="1"/>
  <c r="D64" i="120" s="1"/>
  <c r="D65" i="120" s="1"/>
  <c r="AS61" i="120"/>
  <c r="T61" i="120"/>
  <c r="K61" i="120"/>
  <c r="H61" i="120"/>
  <c r="G61" i="120"/>
  <c r="AS60" i="120"/>
  <c r="T60" i="120"/>
  <c r="H60" i="120"/>
  <c r="G60" i="120"/>
  <c r="AS59" i="120"/>
  <c r="T59" i="120"/>
  <c r="H59" i="120"/>
  <c r="G59" i="120"/>
  <c r="AS58" i="120"/>
  <c r="T58" i="120"/>
  <c r="H58" i="120"/>
  <c r="G58" i="120"/>
  <c r="AS57" i="120"/>
  <c r="T57" i="120"/>
  <c r="H57" i="120"/>
  <c r="G57" i="120"/>
  <c r="AS56" i="120"/>
  <c r="T56" i="120"/>
  <c r="H56" i="120"/>
  <c r="G56" i="120"/>
  <c r="AS55" i="120"/>
  <c r="T55" i="120"/>
  <c r="H55" i="120"/>
  <c r="G55" i="120"/>
  <c r="AS54" i="120"/>
  <c r="T54" i="120"/>
  <c r="K54" i="120"/>
  <c r="H54" i="120"/>
  <c r="G54" i="120"/>
  <c r="F54" i="120"/>
  <c r="F55" i="120" s="1"/>
  <c r="E54" i="120"/>
  <c r="E55" i="120" s="1"/>
  <c r="E56" i="120" s="1"/>
  <c r="E57" i="120" s="1"/>
  <c r="E58" i="120" s="1"/>
  <c r="E59" i="120" s="1"/>
  <c r="E60" i="120" s="1"/>
  <c r="D54" i="120"/>
  <c r="D55" i="120" s="1"/>
  <c r="D56" i="120" s="1"/>
  <c r="D57" i="120" s="1"/>
  <c r="D58" i="120" s="1"/>
  <c r="D59" i="120" s="1"/>
  <c r="D60" i="120" s="1"/>
  <c r="AS53" i="120"/>
  <c r="T53" i="120"/>
  <c r="K53" i="120"/>
  <c r="H53" i="120"/>
  <c r="G53" i="120"/>
  <c r="AS52" i="120"/>
  <c r="T52" i="120"/>
  <c r="F52" i="120"/>
  <c r="K52" i="120" s="1"/>
  <c r="E52" i="120"/>
  <c r="D52" i="120"/>
  <c r="AS51" i="120"/>
  <c r="T51" i="120"/>
  <c r="F51" i="120"/>
  <c r="K51" i="120" s="1"/>
  <c r="E51" i="120"/>
  <c r="D51" i="120"/>
  <c r="AS50" i="120"/>
  <c r="T50" i="120"/>
  <c r="K50" i="120"/>
  <c r="F50" i="120"/>
  <c r="E50" i="120"/>
  <c r="D50" i="120"/>
  <c r="AS49" i="120"/>
  <c r="T49" i="120"/>
  <c r="K49" i="120"/>
  <c r="H49" i="120"/>
  <c r="G49" i="120"/>
  <c r="AS48" i="120"/>
  <c r="T48" i="120"/>
  <c r="AS47" i="120"/>
  <c r="T47" i="120"/>
  <c r="AS46" i="120"/>
  <c r="T46" i="120"/>
  <c r="AS45" i="120"/>
  <c r="T45" i="120"/>
  <c r="H45" i="120"/>
  <c r="H43" i="120" s="1"/>
  <c r="G45" i="120"/>
  <c r="G43" i="120" s="1"/>
  <c r="AS44" i="120"/>
  <c r="T44" i="120"/>
  <c r="F44" i="120"/>
  <c r="F45" i="120" s="1"/>
  <c r="E44" i="120"/>
  <c r="E45" i="120" s="1"/>
  <c r="E46" i="120" s="1"/>
  <c r="E47" i="120" s="1"/>
  <c r="E48" i="120" s="1"/>
  <c r="D44" i="120"/>
  <c r="D45" i="120" s="1"/>
  <c r="D46" i="120" s="1"/>
  <c r="D47" i="120" s="1"/>
  <c r="D48" i="120" s="1"/>
  <c r="AS43" i="120"/>
  <c r="T43" i="120"/>
  <c r="K43" i="120"/>
  <c r="AS42" i="120"/>
  <c r="T42" i="120"/>
  <c r="AS41" i="120"/>
  <c r="T41" i="120"/>
  <c r="F41" i="120"/>
  <c r="K41" i="120" s="1"/>
  <c r="AR40" i="120"/>
  <c r="AS40" i="120" s="1"/>
  <c r="T40" i="120"/>
  <c r="F40" i="120"/>
  <c r="K40" i="120" s="1"/>
  <c r="E40" i="120"/>
  <c r="E41" i="120" s="1"/>
  <c r="E42" i="120" s="1"/>
  <c r="D40" i="120"/>
  <c r="D41" i="120" s="1"/>
  <c r="D42" i="120" s="1"/>
  <c r="AS39" i="120"/>
  <c r="T39" i="120"/>
  <c r="K39" i="120"/>
  <c r="H39" i="120"/>
  <c r="G39" i="120"/>
  <c r="AS38" i="120"/>
  <c r="T38" i="120"/>
  <c r="AS37" i="120"/>
  <c r="T37" i="120"/>
  <c r="AS36" i="120"/>
  <c r="T36" i="120"/>
  <c r="AS35" i="120"/>
  <c r="T35" i="120"/>
  <c r="AS34" i="120"/>
  <c r="T34" i="120"/>
  <c r="AS33" i="120"/>
  <c r="T33" i="120"/>
  <c r="AS32" i="120"/>
  <c r="T32" i="120"/>
  <c r="AS31" i="120"/>
  <c r="T31" i="120"/>
  <c r="AS30" i="120"/>
  <c r="T30" i="120"/>
  <c r="AS29" i="120"/>
  <c r="T29" i="120"/>
  <c r="H29" i="120"/>
  <c r="G29" i="120"/>
  <c r="AS28" i="120"/>
  <c r="T28" i="120"/>
  <c r="H28" i="120"/>
  <c r="G28" i="120"/>
  <c r="AS27" i="120"/>
  <c r="T27" i="120"/>
  <c r="H27" i="120"/>
  <c r="H24" i="120" s="1"/>
  <c r="G27" i="120"/>
  <c r="AS26" i="120"/>
  <c r="T26" i="120"/>
  <c r="F26" i="120"/>
  <c r="F27" i="120" s="1"/>
  <c r="AS25" i="120"/>
  <c r="T25" i="120"/>
  <c r="F25" i="120"/>
  <c r="K25" i="120" s="1"/>
  <c r="E25" i="120"/>
  <c r="E26" i="120" s="1"/>
  <c r="E27" i="120" s="1"/>
  <c r="E28" i="120" s="1"/>
  <c r="E29" i="120" s="1"/>
  <c r="E30" i="120" s="1"/>
  <c r="E31" i="120" s="1"/>
  <c r="E32" i="120" s="1"/>
  <c r="E33" i="120" s="1"/>
  <c r="E34" i="120" s="1"/>
  <c r="E35" i="120" s="1"/>
  <c r="E36" i="120" s="1"/>
  <c r="E37" i="120" s="1"/>
  <c r="E38" i="120" s="1"/>
  <c r="D25" i="120"/>
  <c r="D26" i="120" s="1"/>
  <c r="D27" i="120" s="1"/>
  <c r="D28" i="120" s="1"/>
  <c r="D29" i="120" s="1"/>
  <c r="D30" i="120" s="1"/>
  <c r="D31" i="120" s="1"/>
  <c r="D32" i="120" s="1"/>
  <c r="D33" i="120" s="1"/>
  <c r="D34" i="120" s="1"/>
  <c r="D35" i="120" s="1"/>
  <c r="D36" i="120" s="1"/>
  <c r="D37" i="120" s="1"/>
  <c r="D38" i="120" s="1"/>
  <c r="AS24" i="120"/>
  <c r="T24" i="120"/>
  <c r="K24" i="120"/>
  <c r="G24" i="120"/>
  <c r="AS23" i="120"/>
  <c r="T23" i="120"/>
  <c r="AS22" i="120"/>
  <c r="T22" i="120"/>
  <c r="AS21" i="120"/>
  <c r="T21" i="120"/>
  <c r="AS20" i="120"/>
  <c r="T20" i="120"/>
  <c r="AS19" i="120"/>
  <c r="T19" i="120"/>
  <c r="AS18" i="120"/>
  <c r="T18" i="120"/>
  <c r="F18" i="120"/>
  <c r="F19" i="120" s="1"/>
  <c r="E18" i="120"/>
  <c r="E19" i="120" s="1"/>
  <c r="E20" i="120" s="1"/>
  <c r="E21" i="120" s="1"/>
  <c r="E22" i="120" s="1"/>
  <c r="E23" i="120" s="1"/>
  <c r="AS17" i="120"/>
  <c r="T17" i="120"/>
  <c r="F17" i="120"/>
  <c r="K17" i="120" s="1"/>
  <c r="E17" i="120"/>
  <c r="D17" i="120"/>
  <c r="D18" i="120" s="1"/>
  <c r="D19" i="120" s="1"/>
  <c r="D20" i="120" s="1"/>
  <c r="D21" i="120" s="1"/>
  <c r="D22" i="120" s="1"/>
  <c r="D23" i="120" s="1"/>
  <c r="AS16" i="120"/>
  <c r="T16" i="120"/>
  <c r="F16" i="120"/>
  <c r="K16" i="120" s="1"/>
  <c r="E16" i="120"/>
  <c r="D16" i="120"/>
  <c r="AS15" i="120"/>
  <c r="T15" i="120"/>
  <c r="K15" i="120"/>
  <c r="H15" i="120"/>
  <c r="G15" i="120"/>
  <c r="AS14" i="120"/>
  <c r="T14" i="120"/>
  <c r="E14" i="120"/>
  <c r="D14" i="120"/>
  <c r="AS13" i="120"/>
  <c r="T13" i="120"/>
  <c r="E13" i="120"/>
  <c r="D13" i="120"/>
  <c r="AS12" i="120"/>
  <c r="T12" i="120"/>
  <c r="E12" i="120"/>
  <c r="D12" i="120"/>
  <c r="AS11" i="120"/>
  <c r="T11" i="120"/>
  <c r="F11" i="120"/>
  <c r="F12" i="120" s="1"/>
  <c r="E11" i="120"/>
  <c r="D11" i="120"/>
  <c r="AS10" i="120"/>
  <c r="T10" i="120"/>
  <c r="K10" i="120"/>
  <c r="H10" i="120"/>
  <c r="G10" i="120"/>
  <c r="L765" i="121"/>
  <c r="K765" i="121"/>
  <c r="M764" i="121"/>
  <c r="M763" i="121"/>
  <c r="M762" i="121"/>
  <c r="M761" i="121"/>
  <c r="M760" i="121"/>
  <c r="M759" i="121"/>
  <c r="M758" i="121"/>
  <c r="M757" i="121"/>
  <c r="M756" i="121"/>
  <c r="M755" i="121"/>
  <c r="M754" i="121"/>
  <c r="M753" i="121"/>
  <c r="M752" i="121"/>
  <c r="M751" i="121"/>
  <c r="M750" i="121"/>
  <c r="M749" i="121"/>
  <c r="M748" i="121"/>
  <c r="M747" i="121"/>
  <c r="M746" i="121"/>
  <c r="M745" i="121"/>
  <c r="M744" i="121"/>
  <c r="M743" i="121"/>
  <c r="M742" i="121"/>
  <c r="M741" i="121"/>
  <c r="M740" i="121"/>
  <c r="M739" i="121"/>
  <c r="M738" i="121"/>
  <c r="M737" i="121"/>
  <c r="M736" i="121"/>
  <c r="M735" i="121"/>
  <c r="P734" i="121"/>
  <c r="O734" i="121"/>
  <c r="M734" i="121"/>
  <c r="M733" i="121"/>
  <c r="M732" i="121"/>
  <c r="M731" i="121"/>
  <c r="O730" i="121"/>
  <c r="P730" i="121" s="1"/>
  <c r="M730" i="121"/>
  <c r="O729" i="121"/>
  <c r="M729" i="121"/>
  <c r="M728" i="121"/>
  <c r="P727" i="121"/>
  <c r="O727" i="121"/>
  <c r="M727" i="121"/>
  <c r="P726" i="121"/>
  <c r="M726" i="121"/>
  <c r="O726" i="121" s="1"/>
  <c r="O725" i="121"/>
  <c r="M725" i="121"/>
  <c r="P724" i="121"/>
  <c r="M724" i="121"/>
  <c r="O724" i="121" s="1"/>
  <c r="O723" i="121"/>
  <c r="P723" i="121" s="1"/>
  <c r="M723" i="121"/>
  <c r="M722" i="121"/>
  <c r="M721" i="121"/>
  <c r="P720" i="121"/>
  <c r="M720" i="121"/>
  <c r="O720" i="121" s="1"/>
  <c r="O719" i="121"/>
  <c r="P719" i="121" s="1"/>
  <c r="M719" i="121"/>
  <c r="M718" i="121"/>
  <c r="M717" i="121"/>
  <c r="O716" i="121"/>
  <c r="P716" i="121" s="1"/>
  <c r="M716" i="121"/>
  <c r="M715" i="121"/>
  <c r="M714" i="121"/>
  <c r="M713" i="121"/>
  <c r="P712" i="121"/>
  <c r="O712" i="121"/>
  <c r="M712" i="121"/>
  <c r="P711" i="121"/>
  <c r="O711" i="121"/>
  <c r="M711" i="121"/>
  <c r="M710" i="121"/>
  <c r="M709" i="121"/>
  <c r="P708" i="121"/>
  <c r="M708" i="121"/>
  <c r="O708" i="121" s="1"/>
  <c r="O707" i="121"/>
  <c r="M707" i="121"/>
  <c r="P707" i="121" s="1"/>
  <c r="M706" i="121"/>
  <c r="O705" i="121"/>
  <c r="M705" i="121"/>
  <c r="M704" i="121"/>
  <c r="O703" i="121"/>
  <c r="P703" i="121" s="1"/>
  <c r="M703" i="121"/>
  <c r="O702" i="121"/>
  <c r="M702" i="121"/>
  <c r="P701" i="121"/>
  <c r="O701" i="121"/>
  <c r="M701" i="121"/>
  <c r="O700" i="121"/>
  <c r="P700" i="121" s="1"/>
  <c r="M700" i="121"/>
  <c r="M699" i="121"/>
  <c r="M698" i="121"/>
  <c r="M697" i="121"/>
  <c r="M696" i="121"/>
  <c r="M695" i="121"/>
  <c r="M694" i="121"/>
  <c r="P693" i="121"/>
  <c r="M693" i="121"/>
  <c r="O693" i="121" s="1"/>
  <c r="O692" i="121"/>
  <c r="P692" i="121" s="1"/>
  <c r="M692" i="121"/>
  <c r="M691" i="121"/>
  <c r="M690" i="121"/>
  <c r="P689" i="121"/>
  <c r="M689" i="121"/>
  <c r="O689" i="121" s="1"/>
  <c r="P688" i="121"/>
  <c r="M688" i="121"/>
  <c r="O688" i="121" s="1"/>
  <c r="M687" i="121"/>
  <c r="M686" i="121"/>
  <c r="M685" i="121"/>
  <c r="P684" i="121"/>
  <c r="M684" i="121"/>
  <c r="O684" i="121" s="1"/>
  <c r="O683" i="121"/>
  <c r="P683" i="121" s="1"/>
  <c r="M683" i="121"/>
  <c r="P682" i="121"/>
  <c r="O682" i="121"/>
  <c r="M682" i="121"/>
  <c r="M681" i="121"/>
  <c r="M680" i="121"/>
  <c r="O679" i="121"/>
  <c r="P679" i="121" s="1"/>
  <c r="M679" i="121"/>
  <c r="M678" i="121"/>
  <c r="M677" i="121"/>
  <c r="P676" i="121"/>
  <c r="O676" i="121"/>
  <c r="M676" i="121"/>
  <c r="O675" i="121"/>
  <c r="P675" i="121" s="1"/>
  <c r="M675" i="121"/>
  <c r="L670" i="121"/>
  <c r="K670" i="121"/>
  <c r="M669" i="121"/>
  <c r="M668" i="121"/>
  <c r="M667" i="121"/>
  <c r="M666" i="121"/>
  <c r="M665" i="121"/>
  <c r="M664" i="121"/>
  <c r="M663" i="121"/>
  <c r="M662" i="121"/>
  <c r="M661" i="121"/>
  <c r="M660" i="121"/>
  <c r="M659" i="121"/>
  <c r="M658" i="121"/>
  <c r="M657" i="121"/>
  <c r="M656" i="121"/>
  <c r="M655" i="121"/>
  <c r="M654" i="121"/>
  <c r="M653" i="121"/>
  <c r="M652" i="121"/>
  <c r="M651" i="121"/>
  <c r="M650" i="121"/>
  <c r="M649" i="121"/>
  <c r="M648" i="121"/>
  <c r="M647" i="121"/>
  <c r="M646" i="121"/>
  <c r="M645" i="121"/>
  <c r="M644" i="121"/>
  <c r="M643" i="121"/>
  <c r="M642" i="121"/>
  <c r="P641" i="121"/>
  <c r="O641" i="121"/>
  <c r="M641" i="121"/>
  <c r="P640" i="121"/>
  <c r="O640" i="121"/>
  <c r="M640" i="121"/>
  <c r="M639" i="121"/>
  <c r="M638" i="121"/>
  <c r="P637" i="121"/>
  <c r="O637" i="121"/>
  <c r="M637" i="121"/>
  <c r="M636" i="121"/>
  <c r="O636" i="121" s="1"/>
  <c r="P636" i="121" s="1"/>
  <c r="M635" i="121"/>
  <c r="O634" i="121"/>
  <c r="P634" i="121" s="1"/>
  <c r="M634" i="121"/>
  <c r="M633" i="121"/>
  <c r="O633" i="121" s="1"/>
  <c r="P633" i="121" s="1"/>
  <c r="M632" i="121"/>
  <c r="M631" i="121"/>
  <c r="M630" i="121"/>
  <c r="M629" i="121"/>
  <c r="M628" i="121"/>
  <c r="P627" i="121"/>
  <c r="M627" i="121"/>
  <c r="O627" i="121" s="1"/>
  <c r="M626" i="121"/>
  <c r="P625" i="121"/>
  <c r="O625" i="121"/>
  <c r="M625" i="121"/>
  <c r="M624" i="121"/>
  <c r="O623" i="121"/>
  <c r="P623" i="121" s="1"/>
  <c r="M623" i="121"/>
  <c r="O622" i="121"/>
  <c r="P622" i="121" s="1"/>
  <c r="M622" i="121"/>
  <c r="M621" i="121"/>
  <c r="M620" i="121"/>
  <c r="P619" i="121"/>
  <c r="O619" i="121"/>
  <c r="M619" i="121"/>
  <c r="M618" i="121"/>
  <c r="M617" i="121"/>
  <c r="M616" i="121"/>
  <c r="O616" i="121" s="1"/>
  <c r="P616" i="121" s="1"/>
  <c r="O615" i="121"/>
  <c r="M615" i="121"/>
  <c r="O614" i="121"/>
  <c r="P614" i="121" s="1"/>
  <c r="M614" i="121"/>
  <c r="M613" i="121"/>
  <c r="M612" i="121"/>
  <c r="O612" i="121" s="1"/>
  <c r="P612" i="121" s="1"/>
  <c r="O611" i="121"/>
  <c r="P611" i="121" s="1"/>
  <c r="M611" i="121"/>
  <c r="M610" i="121"/>
  <c r="M609" i="121"/>
  <c r="P608" i="121"/>
  <c r="O608" i="121"/>
  <c r="M608" i="121"/>
  <c r="M607" i="121"/>
  <c r="M606" i="121"/>
  <c r="O605" i="121"/>
  <c r="M605" i="121"/>
  <c r="M604" i="121"/>
  <c r="M603" i="121"/>
  <c r="O603" i="121" s="1"/>
  <c r="M602" i="121"/>
  <c r="M601" i="121"/>
  <c r="P600" i="121"/>
  <c r="O600" i="121"/>
  <c r="M600" i="121"/>
  <c r="M599" i="121"/>
  <c r="M598" i="121"/>
  <c r="M597" i="121"/>
  <c r="M596" i="121"/>
  <c r="M595" i="121"/>
  <c r="M594" i="121"/>
  <c r="M593" i="121"/>
  <c r="P592" i="121"/>
  <c r="O592" i="121"/>
  <c r="M592" i="121"/>
  <c r="O591" i="121"/>
  <c r="M591" i="121"/>
  <c r="M590" i="121"/>
  <c r="O589" i="121"/>
  <c r="M589" i="121"/>
  <c r="M588" i="121"/>
  <c r="O587" i="121"/>
  <c r="M587" i="121"/>
  <c r="O586" i="121"/>
  <c r="P586" i="121" s="1"/>
  <c r="M586" i="121"/>
  <c r="M585" i="121"/>
  <c r="M584" i="121"/>
  <c r="P583" i="121"/>
  <c r="O583" i="121"/>
  <c r="M583" i="121"/>
  <c r="O582" i="121"/>
  <c r="M582" i="121"/>
  <c r="M580" i="121"/>
  <c r="L575" i="121"/>
  <c r="K575" i="121"/>
  <c r="M574" i="121"/>
  <c r="M573" i="121"/>
  <c r="M572" i="121"/>
  <c r="M571" i="121"/>
  <c r="M570" i="121"/>
  <c r="M569" i="121"/>
  <c r="M568" i="121"/>
  <c r="M567" i="121"/>
  <c r="M566" i="121"/>
  <c r="M565" i="121"/>
  <c r="M564" i="121"/>
  <c r="M563" i="121"/>
  <c r="M562" i="121"/>
  <c r="M561" i="121"/>
  <c r="M560" i="121"/>
  <c r="M559" i="121"/>
  <c r="M558" i="121"/>
  <c r="D558" i="121"/>
  <c r="D653" i="121" s="1"/>
  <c r="D748" i="121" s="1"/>
  <c r="C558" i="121"/>
  <c r="C653" i="121" s="1"/>
  <c r="C748" i="121" s="1"/>
  <c r="M557" i="121"/>
  <c r="M556" i="121"/>
  <c r="M555" i="121"/>
  <c r="M554" i="121"/>
  <c r="M553" i="121"/>
  <c r="M552" i="121"/>
  <c r="M551" i="121"/>
  <c r="M550" i="121"/>
  <c r="M549" i="121"/>
  <c r="M548" i="121"/>
  <c r="M547" i="121"/>
  <c r="M546" i="121"/>
  <c r="M545" i="121"/>
  <c r="M544" i="121"/>
  <c r="M543" i="121"/>
  <c r="P542" i="121"/>
  <c r="M542" i="121"/>
  <c r="O542" i="121" s="1"/>
  <c r="M541" i="121"/>
  <c r="O540" i="121"/>
  <c r="M540" i="121"/>
  <c r="M539" i="121"/>
  <c r="P538" i="121"/>
  <c r="M538" i="121"/>
  <c r="O538" i="121" s="1"/>
  <c r="M537" i="121"/>
  <c r="P536" i="121"/>
  <c r="M536" i="121"/>
  <c r="O536" i="121" s="1"/>
  <c r="P535" i="121"/>
  <c r="M535" i="121"/>
  <c r="O535" i="121" s="1"/>
  <c r="M534" i="121"/>
  <c r="O534" i="121" s="1"/>
  <c r="P534" i="121" s="1"/>
  <c r="M533" i="121"/>
  <c r="P532" i="121"/>
  <c r="M532" i="121"/>
  <c r="O532" i="121" s="1"/>
  <c r="M531" i="121"/>
  <c r="M530" i="121"/>
  <c r="M529" i="121"/>
  <c r="M528" i="121"/>
  <c r="P527" i="121"/>
  <c r="O527" i="121"/>
  <c r="M527" i="121"/>
  <c r="O526" i="121"/>
  <c r="M526" i="121"/>
  <c r="P525" i="121"/>
  <c r="M525" i="121"/>
  <c r="O525" i="121" s="1"/>
  <c r="P524" i="121"/>
  <c r="O524" i="121"/>
  <c r="M524" i="121"/>
  <c r="P523" i="121"/>
  <c r="M523" i="121"/>
  <c r="O523" i="121" s="1"/>
  <c r="M522" i="121"/>
  <c r="P521" i="121"/>
  <c r="M521" i="121"/>
  <c r="O521" i="121" s="1"/>
  <c r="M520" i="121"/>
  <c r="O519" i="121"/>
  <c r="M519" i="121"/>
  <c r="M518" i="121"/>
  <c r="M517" i="121"/>
  <c r="O516" i="121"/>
  <c r="M516" i="121"/>
  <c r="M515" i="121"/>
  <c r="P514" i="121"/>
  <c r="M514" i="121"/>
  <c r="O514" i="121" s="1"/>
  <c r="P513" i="121"/>
  <c r="O513" i="121"/>
  <c r="M513" i="121"/>
  <c r="P512" i="121"/>
  <c r="M512" i="121"/>
  <c r="O512" i="121" s="1"/>
  <c r="M511" i="121"/>
  <c r="P510" i="121"/>
  <c r="O510" i="121"/>
  <c r="M510" i="121"/>
  <c r="P509" i="121"/>
  <c r="M509" i="121"/>
  <c r="O509" i="121" s="1"/>
  <c r="M508" i="121"/>
  <c r="M507" i="121"/>
  <c r="M506" i="121"/>
  <c r="M505" i="121"/>
  <c r="M504" i="121"/>
  <c r="M503" i="121"/>
  <c r="P502" i="121"/>
  <c r="O502" i="121"/>
  <c r="M502" i="121"/>
  <c r="P501" i="121"/>
  <c r="M501" i="121"/>
  <c r="O501" i="121" s="1"/>
  <c r="P500" i="121"/>
  <c r="O500" i="121"/>
  <c r="M500" i="121"/>
  <c r="M499" i="121"/>
  <c r="P498" i="121"/>
  <c r="M498" i="121"/>
  <c r="O498" i="121" s="1"/>
  <c r="M497" i="121"/>
  <c r="M496" i="121"/>
  <c r="M495" i="121"/>
  <c r="M494" i="121"/>
  <c r="O493" i="121"/>
  <c r="M493" i="121"/>
  <c r="M492" i="121"/>
  <c r="M491" i="121"/>
  <c r="P490" i="121"/>
  <c r="O490" i="121"/>
  <c r="M490" i="121"/>
  <c r="M489" i="121"/>
  <c r="M488" i="121"/>
  <c r="O487" i="121"/>
  <c r="P487" i="121" s="1"/>
  <c r="M487" i="121"/>
  <c r="M485" i="121"/>
  <c r="L480" i="121"/>
  <c r="K480" i="121"/>
  <c r="M479" i="121"/>
  <c r="M478" i="121"/>
  <c r="M477" i="121"/>
  <c r="M476" i="121"/>
  <c r="M475" i="121"/>
  <c r="M474" i="121"/>
  <c r="M473" i="121"/>
  <c r="M472" i="121"/>
  <c r="M471" i="121"/>
  <c r="M470" i="121"/>
  <c r="M469" i="121"/>
  <c r="M468" i="121"/>
  <c r="M467" i="121"/>
  <c r="M466" i="121"/>
  <c r="M465" i="121"/>
  <c r="M464" i="121"/>
  <c r="M463" i="121"/>
  <c r="M462" i="121"/>
  <c r="M461" i="121"/>
  <c r="M460" i="121"/>
  <c r="D460" i="121"/>
  <c r="D555" i="121" s="1"/>
  <c r="D650" i="121" s="1"/>
  <c r="D745" i="121" s="1"/>
  <c r="M459" i="121"/>
  <c r="M458" i="121"/>
  <c r="M457" i="121"/>
  <c r="M456" i="121"/>
  <c r="M455" i="121"/>
  <c r="M454" i="121"/>
  <c r="M453" i="121"/>
  <c r="M452" i="121"/>
  <c r="M451" i="121"/>
  <c r="M450" i="121"/>
  <c r="O449" i="121"/>
  <c r="P449" i="121" s="1"/>
  <c r="M449" i="121"/>
  <c r="O448" i="121"/>
  <c r="M448" i="121"/>
  <c r="O447" i="121"/>
  <c r="P447" i="121" s="1"/>
  <c r="M447" i="121"/>
  <c r="M446" i="121"/>
  <c r="M445" i="121"/>
  <c r="O444" i="121"/>
  <c r="P444" i="121" s="1"/>
  <c r="M444" i="121"/>
  <c r="O443" i="121"/>
  <c r="M443" i="121"/>
  <c r="M442" i="121"/>
  <c r="P441" i="121"/>
  <c r="O441" i="121"/>
  <c r="M441" i="121"/>
  <c r="M440" i="121"/>
  <c r="M439" i="121"/>
  <c r="O438" i="121"/>
  <c r="P438" i="121" s="1"/>
  <c r="M438" i="121"/>
  <c r="M437" i="121"/>
  <c r="P436" i="121"/>
  <c r="O436" i="121"/>
  <c r="M436" i="121"/>
  <c r="M435" i="121"/>
  <c r="M434" i="121"/>
  <c r="M433" i="121"/>
  <c r="O433" i="121" s="1"/>
  <c r="P433" i="121" s="1"/>
  <c r="M432" i="121"/>
  <c r="M431" i="121"/>
  <c r="O430" i="121"/>
  <c r="P430" i="121" s="1"/>
  <c r="M430" i="121"/>
  <c r="M429" i="121"/>
  <c r="O428" i="121"/>
  <c r="M428" i="121"/>
  <c r="O427" i="121"/>
  <c r="M427" i="121"/>
  <c r="P427" i="121" s="1"/>
  <c r="E427" i="121"/>
  <c r="E522" i="121" s="1"/>
  <c r="E617" i="121" s="1"/>
  <c r="E712" i="121" s="1"/>
  <c r="O426" i="121"/>
  <c r="M426" i="121"/>
  <c r="C426" i="121"/>
  <c r="C521" i="121" s="1"/>
  <c r="C616" i="121" s="1"/>
  <c r="C711" i="121" s="1"/>
  <c r="P425" i="121"/>
  <c r="O425" i="121"/>
  <c r="M425" i="121"/>
  <c r="M424" i="121"/>
  <c r="P423" i="121"/>
  <c r="O423" i="121"/>
  <c r="M423" i="121"/>
  <c r="A423" i="121"/>
  <c r="A518" i="121" s="1"/>
  <c r="A613" i="121" s="1"/>
  <c r="A708" i="121" s="1"/>
  <c r="P422" i="121"/>
  <c r="O422" i="121"/>
  <c r="M422" i="121"/>
  <c r="M421" i="121"/>
  <c r="M420" i="121"/>
  <c r="P419" i="121"/>
  <c r="O419" i="121"/>
  <c r="M419" i="121"/>
  <c r="P418" i="121"/>
  <c r="O418" i="121"/>
  <c r="M418" i="121"/>
  <c r="M417" i="121"/>
  <c r="M416" i="121"/>
  <c r="P415" i="121"/>
  <c r="O415" i="121"/>
  <c r="M415" i="121"/>
  <c r="D415" i="121"/>
  <c r="D510" i="121" s="1"/>
  <c r="D605" i="121" s="1"/>
  <c r="D700" i="121" s="1"/>
  <c r="C415" i="121"/>
  <c r="C510" i="121" s="1"/>
  <c r="C605" i="121" s="1"/>
  <c r="C700" i="121" s="1"/>
  <c r="M414" i="121"/>
  <c r="M413" i="121"/>
  <c r="M412" i="121"/>
  <c r="M411" i="121"/>
  <c r="O411" i="121" s="1"/>
  <c r="P411" i="121" s="1"/>
  <c r="P410" i="121"/>
  <c r="M410" i="121"/>
  <c r="O410" i="121" s="1"/>
  <c r="A410" i="121"/>
  <c r="A505" i="121" s="1"/>
  <c r="A600" i="121" s="1"/>
  <c r="A695" i="121" s="1"/>
  <c r="M409" i="121"/>
  <c r="M408" i="121"/>
  <c r="O408" i="121" s="1"/>
  <c r="M407" i="121"/>
  <c r="O407" i="121" s="1"/>
  <c r="P406" i="121"/>
  <c r="M406" i="121"/>
  <c r="O406" i="121" s="1"/>
  <c r="B406" i="121"/>
  <c r="B501" i="121" s="1"/>
  <c r="B596" i="121" s="1"/>
  <c r="B691" i="121" s="1"/>
  <c r="M405" i="121"/>
  <c r="P404" i="121"/>
  <c r="M404" i="121"/>
  <c r="O404" i="121" s="1"/>
  <c r="M403" i="121"/>
  <c r="O403" i="121" s="1"/>
  <c r="P403" i="121" s="1"/>
  <c r="M402" i="121"/>
  <c r="M401" i="121"/>
  <c r="O401" i="121" s="1"/>
  <c r="O400" i="121"/>
  <c r="P400" i="121" s="1"/>
  <c r="M400" i="121"/>
  <c r="P399" i="121"/>
  <c r="O399" i="121"/>
  <c r="M399" i="121"/>
  <c r="M398" i="121"/>
  <c r="O398" i="121" s="1"/>
  <c r="E398" i="121"/>
  <c r="E493" i="121" s="1"/>
  <c r="E588" i="121" s="1"/>
  <c r="E683" i="121" s="1"/>
  <c r="M397" i="121"/>
  <c r="P396" i="121"/>
  <c r="M396" i="121"/>
  <c r="O396" i="121" s="1"/>
  <c r="M395" i="121"/>
  <c r="M394" i="121"/>
  <c r="M393" i="121"/>
  <c r="M392" i="121"/>
  <c r="O391" i="121"/>
  <c r="P391" i="121" s="1"/>
  <c r="M391" i="121"/>
  <c r="M390" i="121"/>
  <c r="L385" i="121"/>
  <c r="K385" i="121"/>
  <c r="M384" i="121"/>
  <c r="M383" i="121"/>
  <c r="M382" i="121"/>
  <c r="M381" i="121"/>
  <c r="B381" i="121"/>
  <c r="B476" i="121" s="1"/>
  <c r="B571" i="121" s="1"/>
  <c r="B666" i="121" s="1"/>
  <c r="B761" i="121" s="1"/>
  <c r="M380" i="121"/>
  <c r="M379" i="121"/>
  <c r="M378" i="121"/>
  <c r="M377" i="121"/>
  <c r="M376" i="121"/>
  <c r="M375" i="121"/>
  <c r="M374" i="121"/>
  <c r="D374" i="121"/>
  <c r="D469" i="121" s="1"/>
  <c r="D564" i="121" s="1"/>
  <c r="D659" i="121" s="1"/>
  <c r="D754" i="121" s="1"/>
  <c r="M373" i="121"/>
  <c r="M372" i="121"/>
  <c r="M371" i="121"/>
  <c r="M370" i="121"/>
  <c r="D370" i="121"/>
  <c r="D465" i="121" s="1"/>
  <c r="D560" i="121" s="1"/>
  <c r="D655" i="121" s="1"/>
  <c r="D750" i="121" s="1"/>
  <c r="B370" i="121"/>
  <c r="B465" i="121" s="1"/>
  <c r="B560" i="121" s="1"/>
  <c r="B655" i="121" s="1"/>
  <c r="B750" i="121" s="1"/>
  <c r="M369" i="121"/>
  <c r="D369" i="121"/>
  <c r="D464" i="121" s="1"/>
  <c r="D559" i="121" s="1"/>
  <c r="D654" i="121" s="1"/>
  <c r="D749" i="121" s="1"/>
  <c r="C369" i="121"/>
  <c r="C464" i="121" s="1"/>
  <c r="C559" i="121" s="1"/>
  <c r="C654" i="121" s="1"/>
  <c r="C749" i="121" s="1"/>
  <c r="M368" i="121"/>
  <c r="D368" i="121"/>
  <c r="D463" i="121" s="1"/>
  <c r="M367" i="121"/>
  <c r="M366" i="121"/>
  <c r="M365" i="121"/>
  <c r="M364" i="121"/>
  <c r="B364" i="121"/>
  <c r="B459" i="121" s="1"/>
  <c r="B554" i="121" s="1"/>
  <c r="B649" i="121" s="1"/>
  <c r="B744" i="121" s="1"/>
  <c r="M363" i="121"/>
  <c r="M362" i="121"/>
  <c r="M361" i="121"/>
  <c r="M360" i="121"/>
  <c r="M359" i="121"/>
  <c r="M358" i="121"/>
  <c r="A358" i="121"/>
  <c r="A453" i="121" s="1"/>
  <c r="A548" i="121" s="1"/>
  <c r="A643" i="121" s="1"/>
  <c r="A738" i="121" s="1"/>
  <c r="M357" i="121"/>
  <c r="M356" i="121"/>
  <c r="M355" i="121"/>
  <c r="O354" i="121"/>
  <c r="M354" i="121"/>
  <c r="P354" i="121" s="1"/>
  <c r="O353" i="121"/>
  <c r="P353" i="121" s="1"/>
  <c r="M353" i="121"/>
  <c r="O352" i="121"/>
  <c r="M352" i="121"/>
  <c r="M351" i="121"/>
  <c r="P350" i="121"/>
  <c r="M350" i="121"/>
  <c r="O350" i="121" s="1"/>
  <c r="M349" i="121"/>
  <c r="M348" i="121"/>
  <c r="M347" i="121"/>
  <c r="O346" i="121"/>
  <c r="M346" i="121"/>
  <c r="M345" i="121"/>
  <c r="M344" i="121"/>
  <c r="M343" i="121"/>
  <c r="O343" i="121" s="1"/>
  <c r="P342" i="121"/>
  <c r="O342" i="121"/>
  <c r="M342" i="121"/>
  <c r="O341" i="121"/>
  <c r="M341" i="121"/>
  <c r="M340" i="121"/>
  <c r="P339" i="121"/>
  <c r="M339" i="121"/>
  <c r="O339" i="121" s="1"/>
  <c r="M338" i="121"/>
  <c r="E338" i="121"/>
  <c r="E433" i="121" s="1"/>
  <c r="E528" i="121" s="1"/>
  <c r="E623" i="121" s="1"/>
  <c r="E718" i="121" s="1"/>
  <c r="M337" i="121"/>
  <c r="M336" i="121"/>
  <c r="M335" i="121"/>
  <c r="M334" i="121"/>
  <c r="M333" i="121"/>
  <c r="M332" i="121"/>
  <c r="O331" i="121"/>
  <c r="P331" i="121" s="1"/>
  <c r="M331" i="121"/>
  <c r="M330" i="121"/>
  <c r="C330" i="121"/>
  <c r="C425" i="121" s="1"/>
  <c r="C520" i="121" s="1"/>
  <c r="C615" i="121" s="1"/>
  <c r="C710" i="121" s="1"/>
  <c r="B330" i="121"/>
  <c r="B425" i="121" s="1"/>
  <c r="B520" i="121" s="1"/>
  <c r="B615" i="121" s="1"/>
  <c r="B710" i="121" s="1"/>
  <c r="A330" i="121"/>
  <c r="A425" i="121" s="1"/>
  <c r="A520" i="121" s="1"/>
  <c r="A615" i="121" s="1"/>
  <c r="A710" i="121" s="1"/>
  <c r="O329" i="121"/>
  <c r="M329" i="121"/>
  <c r="M328" i="121"/>
  <c r="O328" i="121" s="1"/>
  <c r="P328" i="121" s="1"/>
  <c r="E328" i="121"/>
  <c r="E423" i="121" s="1"/>
  <c r="E518" i="121" s="1"/>
  <c r="E613" i="121" s="1"/>
  <c r="E708" i="121" s="1"/>
  <c r="O327" i="121"/>
  <c r="P327" i="121" s="1"/>
  <c r="M327" i="121"/>
  <c r="P326" i="121"/>
  <c r="M326" i="121"/>
  <c r="O326" i="121" s="1"/>
  <c r="M325" i="121"/>
  <c r="M324" i="121"/>
  <c r="M323" i="121"/>
  <c r="M322" i="121"/>
  <c r="O321" i="121"/>
  <c r="P321" i="121" s="1"/>
  <c r="M321" i="121"/>
  <c r="O320" i="121"/>
  <c r="P320" i="121" s="1"/>
  <c r="M320" i="121"/>
  <c r="M319" i="121"/>
  <c r="M318" i="121"/>
  <c r="P317" i="121"/>
  <c r="M317" i="121"/>
  <c r="O317" i="121" s="1"/>
  <c r="O316" i="121"/>
  <c r="P316" i="121" s="1"/>
  <c r="M316" i="121"/>
  <c r="M315" i="121"/>
  <c r="M314" i="121"/>
  <c r="M313" i="121"/>
  <c r="F313" i="121"/>
  <c r="O312" i="121"/>
  <c r="P312" i="121" s="1"/>
  <c r="M312" i="121"/>
  <c r="O311" i="121"/>
  <c r="M311" i="121"/>
  <c r="M310" i="121"/>
  <c r="M309" i="121"/>
  <c r="O309" i="121" s="1"/>
  <c r="P309" i="121" s="1"/>
  <c r="M308" i="121"/>
  <c r="E308" i="121"/>
  <c r="E403" i="121" s="1"/>
  <c r="E498" i="121" s="1"/>
  <c r="E593" i="121" s="1"/>
  <c r="E688" i="121" s="1"/>
  <c r="M307" i="121"/>
  <c r="M306" i="121"/>
  <c r="O305" i="121"/>
  <c r="P305" i="121" s="1"/>
  <c r="M305" i="121"/>
  <c r="M304" i="121"/>
  <c r="M303" i="121"/>
  <c r="M302" i="121"/>
  <c r="O301" i="121"/>
  <c r="P301" i="121" s="1"/>
  <c r="M301" i="121"/>
  <c r="M300" i="121"/>
  <c r="O300" i="121" s="1"/>
  <c r="M299" i="121"/>
  <c r="M298" i="121"/>
  <c r="O298" i="121" s="1"/>
  <c r="P298" i="121" s="1"/>
  <c r="P297" i="121"/>
  <c r="O297" i="121"/>
  <c r="M297" i="121"/>
  <c r="P296" i="121"/>
  <c r="M296" i="121"/>
  <c r="O296" i="121" s="1"/>
  <c r="M295" i="121"/>
  <c r="I385" i="121"/>
  <c r="L290" i="121"/>
  <c r="K290" i="121"/>
  <c r="M289" i="121"/>
  <c r="D289" i="121"/>
  <c r="D384" i="121" s="1"/>
  <c r="D479" i="121" s="1"/>
  <c r="D574" i="121" s="1"/>
  <c r="D669" i="121" s="1"/>
  <c r="D764" i="121" s="1"/>
  <c r="M288" i="121"/>
  <c r="C288" i="121"/>
  <c r="C383" i="121" s="1"/>
  <c r="C478" i="121" s="1"/>
  <c r="C573" i="121" s="1"/>
  <c r="C668" i="121" s="1"/>
  <c r="C763" i="121" s="1"/>
  <c r="M287" i="121"/>
  <c r="D287" i="121"/>
  <c r="D382" i="121" s="1"/>
  <c r="D477" i="121" s="1"/>
  <c r="D572" i="121" s="1"/>
  <c r="D667" i="121" s="1"/>
  <c r="D762" i="121" s="1"/>
  <c r="M286" i="121"/>
  <c r="E286" i="121"/>
  <c r="E381" i="121" s="1"/>
  <c r="E476" i="121" s="1"/>
  <c r="E571" i="121" s="1"/>
  <c r="E666" i="121" s="1"/>
  <c r="E761" i="121" s="1"/>
  <c r="D286" i="121"/>
  <c r="D381" i="121" s="1"/>
  <c r="D476" i="121" s="1"/>
  <c r="D571" i="121" s="1"/>
  <c r="D666" i="121" s="1"/>
  <c r="D761" i="121" s="1"/>
  <c r="M285" i="121"/>
  <c r="M284" i="121"/>
  <c r="C284" i="121"/>
  <c r="C379" i="121" s="1"/>
  <c r="C474" i="121" s="1"/>
  <c r="C569" i="121" s="1"/>
  <c r="C664" i="121" s="1"/>
  <c r="C759" i="121" s="1"/>
  <c r="B284" i="121"/>
  <c r="B379" i="121" s="1"/>
  <c r="B474" i="121" s="1"/>
  <c r="B569" i="121" s="1"/>
  <c r="B664" i="121" s="1"/>
  <c r="B759" i="121" s="1"/>
  <c r="M283" i="121"/>
  <c r="M282" i="121"/>
  <c r="E282" i="121"/>
  <c r="E377" i="121" s="1"/>
  <c r="E472" i="121" s="1"/>
  <c r="E567" i="121" s="1"/>
  <c r="E662" i="121" s="1"/>
  <c r="E757" i="121" s="1"/>
  <c r="D282" i="121"/>
  <c r="D377" i="121" s="1"/>
  <c r="D472" i="121" s="1"/>
  <c r="D567" i="121" s="1"/>
  <c r="D662" i="121" s="1"/>
  <c r="D757" i="121" s="1"/>
  <c r="C282" i="121"/>
  <c r="C377" i="121" s="1"/>
  <c r="C472" i="121" s="1"/>
  <c r="C567" i="121" s="1"/>
  <c r="C662" i="121" s="1"/>
  <c r="C757" i="121" s="1"/>
  <c r="M281" i="121"/>
  <c r="D281" i="121"/>
  <c r="D376" i="121" s="1"/>
  <c r="D471" i="121" s="1"/>
  <c r="D566" i="121" s="1"/>
  <c r="D661" i="121" s="1"/>
  <c r="D756" i="121" s="1"/>
  <c r="B281" i="121"/>
  <c r="B376" i="121" s="1"/>
  <c r="B471" i="121" s="1"/>
  <c r="B566" i="121" s="1"/>
  <c r="B661" i="121" s="1"/>
  <c r="B756" i="121" s="1"/>
  <c r="M280" i="121"/>
  <c r="M279" i="121"/>
  <c r="M278" i="121"/>
  <c r="E278" i="121"/>
  <c r="E373" i="121" s="1"/>
  <c r="E468" i="121" s="1"/>
  <c r="E563" i="121" s="1"/>
  <c r="E658" i="121" s="1"/>
  <c r="E753" i="121" s="1"/>
  <c r="C278" i="121"/>
  <c r="C373" i="121" s="1"/>
  <c r="C468" i="121" s="1"/>
  <c r="C563" i="121" s="1"/>
  <c r="C658" i="121" s="1"/>
  <c r="C753" i="121" s="1"/>
  <c r="B278" i="121"/>
  <c r="B373" i="121" s="1"/>
  <c r="B468" i="121" s="1"/>
  <c r="B563" i="121" s="1"/>
  <c r="B658" i="121" s="1"/>
  <c r="B753" i="121" s="1"/>
  <c r="M277" i="121"/>
  <c r="M276" i="121"/>
  <c r="M275" i="121"/>
  <c r="D275" i="121"/>
  <c r="M274" i="121"/>
  <c r="M273" i="121"/>
  <c r="M272" i="121"/>
  <c r="M271" i="121"/>
  <c r="D271" i="121"/>
  <c r="D366" i="121" s="1"/>
  <c r="D461" i="121" s="1"/>
  <c r="D556" i="121" s="1"/>
  <c r="D651" i="121" s="1"/>
  <c r="D746" i="121" s="1"/>
  <c r="C271" i="121"/>
  <c r="C366" i="121" s="1"/>
  <c r="C461" i="121" s="1"/>
  <c r="C556" i="121" s="1"/>
  <c r="C651" i="121" s="1"/>
  <c r="C746" i="121" s="1"/>
  <c r="B271" i="121"/>
  <c r="B366" i="121" s="1"/>
  <c r="B461" i="121" s="1"/>
  <c r="B556" i="121" s="1"/>
  <c r="B651" i="121" s="1"/>
  <c r="B746" i="121" s="1"/>
  <c r="M270" i="121"/>
  <c r="E270" i="121"/>
  <c r="E365" i="121" s="1"/>
  <c r="E460" i="121" s="1"/>
  <c r="E555" i="121" s="1"/>
  <c r="E650" i="121" s="1"/>
  <c r="E745" i="121" s="1"/>
  <c r="C270" i="121"/>
  <c r="C365" i="121" s="1"/>
  <c r="C460" i="121" s="1"/>
  <c r="C555" i="121" s="1"/>
  <c r="C650" i="121" s="1"/>
  <c r="C745" i="121" s="1"/>
  <c r="M269" i="121"/>
  <c r="C269" i="121"/>
  <c r="C364" i="121" s="1"/>
  <c r="C459" i="121" s="1"/>
  <c r="C554" i="121" s="1"/>
  <c r="C649" i="121" s="1"/>
  <c r="C744" i="121" s="1"/>
  <c r="B269" i="121"/>
  <c r="M268" i="121"/>
  <c r="D268" i="121"/>
  <c r="D363" i="121" s="1"/>
  <c r="D458" i="121" s="1"/>
  <c r="D553" i="121" s="1"/>
  <c r="D648" i="121" s="1"/>
  <c r="D743" i="121" s="1"/>
  <c r="C268" i="121"/>
  <c r="C363" i="121" s="1"/>
  <c r="C458" i="121" s="1"/>
  <c r="C553" i="121" s="1"/>
  <c r="C648" i="121" s="1"/>
  <c r="C743" i="121" s="1"/>
  <c r="B268" i="121"/>
  <c r="B363" i="121" s="1"/>
  <c r="B458" i="121" s="1"/>
  <c r="B553" i="121" s="1"/>
  <c r="B648" i="121" s="1"/>
  <c r="B743" i="121" s="1"/>
  <c r="M267" i="121"/>
  <c r="M266" i="121"/>
  <c r="M265" i="121"/>
  <c r="M264" i="121"/>
  <c r="A264" i="121"/>
  <c r="A359" i="121" s="1"/>
  <c r="A454" i="121" s="1"/>
  <c r="A549" i="121" s="1"/>
  <c r="A644" i="121" s="1"/>
  <c r="A739" i="121" s="1"/>
  <c r="M263" i="121"/>
  <c r="D263" i="121"/>
  <c r="D358" i="121" s="1"/>
  <c r="D453" i="121" s="1"/>
  <c r="D548" i="121" s="1"/>
  <c r="D643" i="121" s="1"/>
  <c r="D738" i="121" s="1"/>
  <c r="M262" i="121"/>
  <c r="M261" i="121"/>
  <c r="O260" i="121"/>
  <c r="P260" i="121" s="1"/>
  <c r="M260" i="121"/>
  <c r="D260" i="121"/>
  <c r="D355" i="121" s="1"/>
  <c r="D450" i="121" s="1"/>
  <c r="D545" i="121" s="1"/>
  <c r="D640" i="121" s="1"/>
  <c r="D735" i="121" s="1"/>
  <c r="M259" i="121"/>
  <c r="B259" i="121"/>
  <c r="B354" i="121" s="1"/>
  <c r="B449" i="121" s="1"/>
  <c r="B544" i="121" s="1"/>
  <c r="B639" i="121" s="1"/>
  <c r="B734" i="121" s="1"/>
  <c r="M258" i="121"/>
  <c r="O257" i="121"/>
  <c r="P257" i="121" s="1"/>
  <c r="M257" i="121"/>
  <c r="P256" i="121"/>
  <c r="O256" i="121"/>
  <c r="M256" i="121"/>
  <c r="M255" i="121"/>
  <c r="B255" i="121"/>
  <c r="B350" i="121" s="1"/>
  <c r="B445" i="121" s="1"/>
  <c r="B540" i="121" s="1"/>
  <c r="B635" i="121" s="1"/>
  <c r="B730" i="121" s="1"/>
  <c r="P254" i="121"/>
  <c r="M254" i="121"/>
  <c r="O254" i="121" s="1"/>
  <c r="M253" i="121"/>
  <c r="O253" i="121" s="1"/>
  <c r="P253" i="121" s="1"/>
  <c r="E253" i="121"/>
  <c r="E348" i="121" s="1"/>
  <c r="E443" i="121" s="1"/>
  <c r="E538" i="121" s="1"/>
  <c r="E633" i="121" s="1"/>
  <c r="E728" i="121" s="1"/>
  <c r="M252" i="121"/>
  <c r="D252" i="121"/>
  <c r="D347" i="121" s="1"/>
  <c r="D442" i="121" s="1"/>
  <c r="D537" i="121" s="1"/>
  <c r="D632" i="121" s="1"/>
  <c r="D727" i="121" s="1"/>
  <c r="M251" i="121"/>
  <c r="M250" i="121"/>
  <c r="E250" i="121"/>
  <c r="E345" i="121" s="1"/>
  <c r="E440" i="121" s="1"/>
  <c r="E535" i="121" s="1"/>
  <c r="E630" i="121" s="1"/>
  <c r="E725" i="121" s="1"/>
  <c r="M249" i="121"/>
  <c r="E249" i="121"/>
  <c r="E344" i="121" s="1"/>
  <c r="E439" i="121" s="1"/>
  <c r="E534" i="121" s="1"/>
  <c r="E629" i="121" s="1"/>
  <c r="E724" i="121" s="1"/>
  <c r="M248" i="121"/>
  <c r="M247" i="121"/>
  <c r="P246" i="121"/>
  <c r="O246" i="121"/>
  <c r="M246" i="121"/>
  <c r="M245" i="121"/>
  <c r="M244" i="121"/>
  <c r="C244" i="121"/>
  <c r="C339" i="121" s="1"/>
  <c r="C434" i="121" s="1"/>
  <c r="C529" i="121" s="1"/>
  <c r="C624" i="121" s="1"/>
  <c r="C719" i="121" s="1"/>
  <c r="A244" i="121"/>
  <c r="A339" i="121" s="1"/>
  <c r="A434" i="121" s="1"/>
  <c r="A529" i="121" s="1"/>
  <c r="A624" i="121" s="1"/>
  <c r="A719" i="121" s="1"/>
  <c r="P243" i="121"/>
  <c r="M243" i="121"/>
  <c r="O243" i="121" s="1"/>
  <c r="E243" i="121"/>
  <c r="O242" i="121"/>
  <c r="M242" i="121"/>
  <c r="M241" i="121"/>
  <c r="D241" i="121"/>
  <c r="D336" i="121" s="1"/>
  <c r="D431" i="121" s="1"/>
  <c r="D526" i="121" s="1"/>
  <c r="D621" i="121" s="1"/>
  <c r="D716" i="121" s="1"/>
  <c r="M240" i="121"/>
  <c r="M239" i="121"/>
  <c r="M238" i="121"/>
  <c r="M237" i="121"/>
  <c r="M236" i="121"/>
  <c r="O236" i="121" s="1"/>
  <c r="A236" i="121"/>
  <c r="A331" i="121" s="1"/>
  <c r="A426" i="121" s="1"/>
  <c r="A521" i="121" s="1"/>
  <c r="A616" i="121" s="1"/>
  <c r="A711" i="121" s="1"/>
  <c r="O235" i="121"/>
  <c r="P235" i="121" s="1"/>
  <c r="M235" i="121"/>
  <c r="E235" i="121"/>
  <c r="E330" i="121" s="1"/>
  <c r="E425" i="121" s="1"/>
  <c r="E520" i="121" s="1"/>
  <c r="E615" i="121" s="1"/>
  <c r="E710" i="121" s="1"/>
  <c r="O234" i="121"/>
  <c r="M234" i="121"/>
  <c r="M233" i="121"/>
  <c r="D233" i="121"/>
  <c r="D328" i="121" s="1"/>
  <c r="D423" i="121" s="1"/>
  <c r="D518" i="121" s="1"/>
  <c r="D613" i="121" s="1"/>
  <c r="D708" i="121" s="1"/>
  <c r="C233" i="121"/>
  <c r="C328" i="121" s="1"/>
  <c r="C423" i="121" s="1"/>
  <c r="C518" i="121" s="1"/>
  <c r="C613" i="121" s="1"/>
  <c r="C708" i="121" s="1"/>
  <c r="B233" i="121"/>
  <c r="B328" i="121" s="1"/>
  <c r="B423" i="121" s="1"/>
  <c r="B518" i="121" s="1"/>
  <c r="B613" i="121" s="1"/>
  <c r="B708" i="121" s="1"/>
  <c r="A233" i="121"/>
  <c r="A328" i="121" s="1"/>
  <c r="P232" i="121"/>
  <c r="M232" i="121"/>
  <c r="O232" i="121" s="1"/>
  <c r="F232" i="121"/>
  <c r="E232" i="121"/>
  <c r="E327" i="121" s="1"/>
  <c r="E422" i="121" s="1"/>
  <c r="E517" i="121" s="1"/>
  <c r="E612" i="121" s="1"/>
  <c r="E707" i="121" s="1"/>
  <c r="M231" i="121"/>
  <c r="M230" i="121"/>
  <c r="D230" i="121"/>
  <c r="D325" i="121" s="1"/>
  <c r="D420" i="121" s="1"/>
  <c r="D515" i="121" s="1"/>
  <c r="D610" i="121" s="1"/>
  <c r="D705" i="121" s="1"/>
  <c r="P229" i="121"/>
  <c r="M229" i="121"/>
  <c r="O229" i="121" s="1"/>
  <c r="M228" i="121"/>
  <c r="M227" i="121"/>
  <c r="E227" i="121"/>
  <c r="E322" i="121" s="1"/>
  <c r="E417" i="121" s="1"/>
  <c r="E512" i="121" s="1"/>
  <c r="E607" i="121" s="1"/>
  <c r="E702" i="121" s="1"/>
  <c r="M226" i="121"/>
  <c r="M225" i="121"/>
  <c r="M224" i="121"/>
  <c r="D224" i="121"/>
  <c r="D319" i="121" s="1"/>
  <c r="D414" i="121" s="1"/>
  <c r="D509" i="121" s="1"/>
  <c r="D604" i="121" s="1"/>
  <c r="D699" i="121" s="1"/>
  <c r="M223" i="121"/>
  <c r="O223" i="121" s="1"/>
  <c r="M222" i="121"/>
  <c r="O221" i="121"/>
  <c r="P221" i="121" s="1"/>
  <c r="M221" i="121"/>
  <c r="A221" i="121"/>
  <c r="A316" i="121" s="1"/>
  <c r="A411" i="121" s="1"/>
  <c r="A506" i="121" s="1"/>
  <c r="A601" i="121" s="1"/>
  <c r="A696" i="121" s="1"/>
  <c r="P220" i="121"/>
  <c r="M220" i="121"/>
  <c r="O220" i="121" s="1"/>
  <c r="M219" i="121"/>
  <c r="O219" i="121" s="1"/>
  <c r="P219" i="121" s="1"/>
  <c r="E219" i="121"/>
  <c r="E314" i="121" s="1"/>
  <c r="E409" i="121" s="1"/>
  <c r="E504" i="121" s="1"/>
  <c r="E599" i="121" s="1"/>
  <c r="E694" i="121" s="1"/>
  <c r="M218" i="121"/>
  <c r="O217" i="121"/>
  <c r="M217" i="121"/>
  <c r="M216" i="121"/>
  <c r="M215" i="121"/>
  <c r="O215" i="121" s="1"/>
  <c r="M214" i="121"/>
  <c r="O213" i="121"/>
  <c r="P213" i="121" s="1"/>
  <c r="M213" i="121"/>
  <c r="M212" i="121"/>
  <c r="O212" i="121" s="1"/>
  <c r="M211" i="121"/>
  <c r="A211" i="121"/>
  <c r="A306" i="121" s="1"/>
  <c r="A401" i="121" s="1"/>
  <c r="A496" i="121" s="1"/>
  <c r="A591" i="121" s="1"/>
  <c r="A686" i="121" s="1"/>
  <c r="P210" i="121"/>
  <c r="M210" i="121"/>
  <c r="O210" i="121" s="1"/>
  <c r="J290" i="121"/>
  <c r="B210" i="121"/>
  <c r="B305" i="121" s="1"/>
  <c r="B400" i="121" s="1"/>
  <c r="B495" i="121" s="1"/>
  <c r="B590" i="121" s="1"/>
  <c r="B685" i="121" s="1"/>
  <c r="M209" i="121"/>
  <c r="O209" i="121" s="1"/>
  <c r="O208" i="121"/>
  <c r="P208" i="121" s="1"/>
  <c r="M208" i="121"/>
  <c r="D208" i="121"/>
  <c r="D303" i="121" s="1"/>
  <c r="D398" i="121" s="1"/>
  <c r="D493" i="121" s="1"/>
  <c r="D588" i="121" s="1"/>
  <c r="D683" i="121" s="1"/>
  <c r="O207" i="121"/>
  <c r="M207" i="121"/>
  <c r="D207" i="121"/>
  <c r="D302" i="121" s="1"/>
  <c r="D397" i="121" s="1"/>
  <c r="D492" i="121" s="1"/>
  <c r="D587" i="121" s="1"/>
  <c r="D682" i="121" s="1"/>
  <c r="C207" i="121"/>
  <c r="C302" i="121" s="1"/>
  <c r="C397" i="121" s="1"/>
  <c r="C492" i="121" s="1"/>
  <c r="C587" i="121" s="1"/>
  <c r="C682" i="121" s="1"/>
  <c r="M206" i="121"/>
  <c r="A206" i="121"/>
  <c r="A301" i="121" s="1"/>
  <c r="A396" i="121" s="1"/>
  <c r="A491" i="121" s="1"/>
  <c r="A586" i="121" s="1"/>
  <c r="A681" i="121" s="1"/>
  <c r="P205" i="121"/>
  <c r="M205" i="121"/>
  <c r="O205" i="121" s="1"/>
  <c r="D205" i="121"/>
  <c r="D300" i="121" s="1"/>
  <c r="D395" i="121" s="1"/>
  <c r="D490" i="121" s="1"/>
  <c r="D585" i="121" s="1"/>
  <c r="D680" i="121" s="1"/>
  <c r="M204" i="121"/>
  <c r="M203" i="121"/>
  <c r="M202" i="121"/>
  <c r="B202" i="121"/>
  <c r="B297" i="121" s="1"/>
  <c r="B392" i="121" s="1"/>
  <c r="B487" i="121" s="1"/>
  <c r="B582" i="121" s="1"/>
  <c r="B677" i="121" s="1"/>
  <c r="P201" i="121"/>
  <c r="M201" i="121"/>
  <c r="O201" i="121" s="1"/>
  <c r="M200" i="121"/>
  <c r="L195" i="121"/>
  <c r="K195" i="121"/>
  <c r="B195" i="121"/>
  <c r="B290" i="121" s="1"/>
  <c r="B385" i="121" s="1"/>
  <c r="B480" i="121" s="1"/>
  <c r="B575" i="121" s="1"/>
  <c r="B670" i="121" s="1"/>
  <c r="B765" i="121" s="1"/>
  <c r="M194" i="121"/>
  <c r="D194" i="121"/>
  <c r="C194" i="121"/>
  <c r="C289" i="121" s="1"/>
  <c r="C384" i="121" s="1"/>
  <c r="C479" i="121" s="1"/>
  <c r="C574" i="121" s="1"/>
  <c r="C669" i="121" s="1"/>
  <c r="C764" i="121" s="1"/>
  <c r="B194" i="121"/>
  <c r="B289" i="121" s="1"/>
  <c r="B384" i="121" s="1"/>
  <c r="B479" i="121" s="1"/>
  <c r="B574" i="121" s="1"/>
  <c r="B669" i="121" s="1"/>
  <c r="B764" i="121" s="1"/>
  <c r="A194" i="121"/>
  <c r="A289" i="121" s="1"/>
  <c r="A384" i="121" s="1"/>
  <c r="A479" i="121" s="1"/>
  <c r="A574" i="121" s="1"/>
  <c r="A669" i="121" s="1"/>
  <c r="A764" i="121" s="1"/>
  <c r="M193" i="121"/>
  <c r="D193" i="121"/>
  <c r="D288" i="121" s="1"/>
  <c r="D383" i="121" s="1"/>
  <c r="D478" i="121" s="1"/>
  <c r="D573" i="121" s="1"/>
  <c r="D668" i="121" s="1"/>
  <c r="D763" i="121" s="1"/>
  <c r="C193" i="121"/>
  <c r="A193" i="121"/>
  <c r="A288" i="121" s="1"/>
  <c r="A383" i="121" s="1"/>
  <c r="A478" i="121" s="1"/>
  <c r="A573" i="121" s="1"/>
  <c r="A668" i="121" s="1"/>
  <c r="A763" i="121" s="1"/>
  <c r="M192" i="121"/>
  <c r="D192" i="121"/>
  <c r="C192" i="121"/>
  <c r="C287" i="121" s="1"/>
  <c r="C382" i="121" s="1"/>
  <c r="C477" i="121" s="1"/>
  <c r="C572" i="121" s="1"/>
  <c r="C667" i="121" s="1"/>
  <c r="C762" i="121" s="1"/>
  <c r="M191" i="121"/>
  <c r="D191" i="121"/>
  <c r="C191" i="121"/>
  <c r="C286" i="121" s="1"/>
  <c r="C381" i="121" s="1"/>
  <c r="C476" i="121" s="1"/>
  <c r="C571" i="121" s="1"/>
  <c r="C666" i="121" s="1"/>
  <c r="C761" i="121" s="1"/>
  <c r="A191" i="121"/>
  <c r="A286" i="121" s="1"/>
  <c r="A381" i="121" s="1"/>
  <c r="A476" i="121" s="1"/>
  <c r="A571" i="121" s="1"/>
  <c r="A666" i="121" s="1"/>
  <c r="A761" i="121" s="1"/>
  <c r="M190" i="121"/>
  <c r="D190" i="121"/>
  <c r="D285" i="121" s="1"/>
  <c r="D380" i="121" s="1"/>
  <c r="D475" i="121" s="1"/>
  <c r="D570" i="121" s="1"/>
  <c r="D665" i="121" s="1"/>
  <c r="D760" i="121" s="1"/>
  <c r="C190" i="121"/>
  <c r="C285" i="121" s="1"/>
  <c r="C380" i="121" s="1"/>
  <c r="C475" i="121" s="1"/>
  <c r="C570" i="121" s="1"/>
  <c r="C665" i="121" s="1"/>
  <c r="C760" i="121" s="1"/>
  <c r="B190" i="121"/>
  <c r="B285" i="121" s="1"/>
  <c r="B380" i="121" s="1"/>
  <c r="B475" i="121" s="1"/>
  <c r="B570" i="121" s="1"/>
  <c r="B665" i="121" s="1"/>
  <c r="B760" i="121" s="1"/>
  <c r="M189" i="121"/>
  <c r="E189" i="121"/>
  <c r="E284" i="121" s="1"/>
  <c r="E379" i="121" s="1"/>
  <c r="E474" i="121" s="1"/>
  <c r="E569" i="121" s="1"/>
  <c r="E664" i="121" s="1"/>
  <c r="E759" i="121" s="1"/>
  <c r="D189" i="121"/>
  <c r="D284" i="121" s="1"/>
  <c r="D379" i="121" s="1"/>
  <c r="D474" i="121" s="1"/>
  <c r="D569" i="121" s="1"/>
  <c r="D664" i="121" s="1"/>
  <c r="D759" i="121" s="1"/>
  <c r="C189" i="121"/>
  <c r="A189" i="121"/>
  <c r="A284" i="121" s="1"/>
  <c r="A379" i="121" s="1"/>
  <c r="A474" i="121" s="1"/>
  <c r="A569" i="121" s="1"/>
  <c r="A664" i="121" s="1"/>
  <c r="A759" i="121" s="1"/>
  <c r="M188" i="121"/>
  <c r="D188" i="121"/>
  <c r="D283" i="121" s="1"/>
  <c r="D378" i="121" s="1"/>
  <c r="D473" i="121" s="1"/>
  <c r="D568" i="121" s="1"/>
  <c r="D663" i="121" s="1"/>
  <c r="D758" i="121" s="1"/>
  <c r="C188" i="121"/>
  <c r="C283" i="121" s="1"/>
  <c r="C378" i="121" s="1"/>
  <c r="C473" i="121" s="1"/>
  <c r="C568" i="121" s="1"/>
  <c r="C663" i="121" s="1"/>
  <c r="C758" i="121" s="1"/>
  <c r="M187" i="121"/>
  <c r="D187" i="121"/>
  <c r="C187" i="121"/>
  <c r="M186" i="121"/>
  <c r="D186" i="121"/>
  <c r="C186" i="121"/>
  <c r="C281" i="121" s="1"/>
  <c r="C376" i="121" s="1"/>
  <c r="C471" i="121" s="1"/>
  <c r="C566" i="121" s="1"/>
  <c r="C661" i="121" s="1"/>
  <c r="C756" i="121" s="1"/>
  <c r="B186" i="121"/>
  <c r="M185" i="121"/>
  <c r="D185" i="121"/>
  <c r="D280" i="121" s="1"/>
  <c r="D375" i="121" s="1"/>
  <c r="D470" i="121" s="1"/>
  <c r="D565" i="121" s="1"/>
  <c r="D660" i="121" s="1"/>
  <c r="D755" i="121" s="1"/>
  <c r="C185" i="121"/>
  <c r="C280" i="121" s="1"/>
  <c r="C375" i="121" s="1"/>
  <c r="C470" i="121" s="1"/>
  <c r="C565" i="121" s="1"/>
  <c r="C660" i="121" s="1"/>
  <c r="C755" i="121" s="1"/>
  <c r="A185" i="121"/>
  <c r="A280" i="121" s="1"/>
  <c r="A375" i="121" s="1"/>
  <c r="A470" i="121" s="1"/>
  <c r="A565" i="121" s="1"/>
  <c r="A660" i="121" s="1"/>
  <c r="A755" i="121" s="1"/>
  <c r="M184" i="121"/>
  <c r="D184" i="121"/>
  <c r="D279" i="121" s="1"/>
  <c r="C184" i="121"/>
  <c r="C279" i="121" s="1"/>
  <c r="C374" i="121" s="1"/>
  <c r="C469" i="121" s="1"/>
  <c r="C564" i="121" s="1"/>
  <c r="C659" i="121" s="1"/>
  <c r="C754" i="121" s="1"/>
  <c r="M183" i="121"/>
  <c r="D183" i="121"/>
  <c r="D278" i="121" s="1"/>
  <c r="D373" i="121" s="1"/>
  <c r="D468" i="121" s="1"/>
  <c r="D563" i="121" s="1"/>
  <c r="D658" i="121" s="1"/>
  <c r="D753" i="121" s="1"/>
  <c r="C183" i="121"/>
  <c r="A183" i="121"/>
  <c r="A278" i="121" s="1"/>
  <c r="A373" i="121" s="1"/>
  <c r="A468" i="121" s="1"/>
  <c r="A563" i="121" s="1"/>
  <c r="A658" i="121" s="1"/>
  <c r="A753" i="121" s="1"/>
  <c r="M182" i="121"/>
  <c r="D182" i="121"/>
  <c r="D277" i="121" s="1"/>
  <c r="D372" i="121" s="1"/>
  <c r="D467" i="121" s="1"/>
  <c r="D562" i="121" s="1"/>
  <c r="D657" i="121" s="1"/>
  <c r="D752" i="121" s="1"/>
  <c r="C182" i="121"/>
  <c r="C277" i="121" s="1"/>
  <c r="C372" i="121" s="1"/>
  <c r="C467" i="121" s="1"/>
  <c r="C562" i="121" s="1"/>
  <c r="C657" i="121" s="1"/>
  <c r="C752" i="121" s="1"/>
  <c r="B182" i="121"/>
  <c r="B277" i="121" s="1"/>
  <c r="B372" i="121" s="1"/>
  <c r="B467" i="121" s="1"/>
  <c r="B562" i="121" s="1"/>
  <c r="B657" i="121" s="1"/>
  <c r="B752" i="121" s="1"/>
  <c r="M181" i="121"/>
  <c r="E181" i="121"/>
  <c r="E276" i="121" s="1"/>
  <c r="E371" i="121" s="1"/>
  <c r="E466" i="121" s="1"/>
  <c r="E561" i="121" s="1"/>
  <c r="E656" i="121" s="1"/>
  <c r="E751" i="121" s="1"/>
  <c r="D181" i="121"/>
  <c r="D276" i="121" s="1"/>
  <c r="D371" i="121" s="1"/>
  <c r="D466" i="121" s="1"/>
  <c r="D561" i="121" s="1"/>
  <c r="D656" i="121" s="1"/>
  <c r="D751" i="121" s="1"/>
  <c r="C181" i="121"/>
  <c r="C276" i="121" s="1"/>
  <c r="C371" i="121" s="1"/>
  <c r="C466" i="121" s="1"/>
  <c r="C561" i="121" s="1"/>
  <c r="C656" i="121" s="1"/>
  <c r="C751" i="121" s="1"/>
  <c r="M180" i="121"/>
  <c r="F180" i="121"/>
  <c r="E180" i="121"/>
  <c r="E275" i="121" s="1"/>
  <c r="E370" i="121" s="1"/>
  <c r="E465" i="121" s="1"/>
  <c r="E560" i="121" s="1"/>
  <c r="E655" i="121" s="1"/>
  <c r="E750" i="121" s="1"/>
  <c r="D180" i="121"/>
  <c r="C180" i="121"/>
  <c r="C275" i="121" s="1"/>
  <c r="C370" i="121" s="1"/>
  <c r="C465" i="121" s="1"/>
  <c r="C560" i="121" s="1"/>
  <c r="C655" i="121" s="1"/>
  <c r="C750" i="121" s="1"/>
  <c r="M179" i="121"/>
  <c r="F179" i="121"/>
  <c r="D179" i="121"/>
  <c r="D274" i="121" s="1"/>
  <c r="C179" i="121"/>
  <c r="C274" i="121" s="1"/>
  <c r="M178" i="121"/>
  <c r="F273" i="121"/>
  <c r="D178" i="121"/>
  <c r="D273" i="121" s="1"/>
  <c r="C178" i="121"/>
  <c r="C273" i="121" s="1"/>
  <c r="C368" i="121" s="1"/>
  <c r="C463" i="121" s="1"/>
  <c r="B178" i="121"/>
  <c r="B273" i="121" s="1"/>
  <c r="B368" i="121" s="1"/>
  <c r="B463" i="121" s="1"/>
  <c r="B558" i="121" s="1"/>
  <c r="B653" i="121" s="1"/>
  <c r="B748" i="121" s="1"/>
  <c r="M177" i="121"/>
  <c r="E177" i="121"/>
  <c r="E272" i="121" s="1"/>
  <c r="E367" i="121" s="1"/>
  <c r="E462" i="121" s="1"/>
  <c r="E557" i="121" s="1"/>
  <c r="E652" i="121" s="1"/>
  <c r="E747" i="121" s="1"/>
  <c r="D177" i="121"/>
  <c r="D272" i="121" s="1"/>
  <c r="D367" i="121" s="1"/>
  <c r="D462" i="121" s="1"/>
  <c r="D557" i="121" s="1"/>
  <c r="D652" i="121" s="1"/>
  <c r="D747" i="121" s="1"/>
  <c r="C177" i="121"/>
  <c r="C272" i="121" s="1"/>
  <c r="C367" i="121" s="1"/>
  <c r="C462" i="121" s="1"/>
  <c r="C557" i="121" s="1"/>
  <c r="C652" i="121" s="1"/>
  <c r="C747" i="121" s="1"/>
  <c r="M176" i="121"/>
  <c r="D176" i="121"/>
  <c r="C176" i="121"/>
  <c r="M175" i="121"/>
  <c r="D175" i="121"/>
  <c r="D270" i="121" s="1"/>
  <c r="D365" i="121" s="1"/>
  <c r="C175" i="121"/>
  <c r="M174" i="121"/>
  <c r="F174" i="121"/>
  <c r="D174" i="121"/>
  <c r="D269" i="121" s="1"/>
  <c r="D364" i="121" s="1"/>
  <c r="D459" i="121" s="1"/>
  <c r="D554" i="121" s="1"/>
  <c r="D649" i="121" s="1"/>
  <c r="D744" i="121" s="1"/>
  <c r="C174" i="121"/>
  <c r="B174" i="121"/>
  <c r="M173" i="121"/>
  <c r="G173" i="121"/>
  <c r="G268" i="121" s="1"/>
  <c r="G363" i="121" s="1"/>
  <c r="G458" i="121" s="1"/>
  <c r="G553" i="121" s="1"/>
  <c r="G648" i="121" s="1"/>
  <c r="G743" i="121" s="1"/>
  <c r="D173" i="121"/>
  <c r="C173" i="121"/>
  <c r="B173" i="121"/>
  <c r="M172" i="121"/>
  <c r="M171" i="121"/>
  <c r="C171" i="121"/>
  <c r="C266" i="121" s="1"/>
  <c r="C361" i="121" s="1"/>
  <c r="C456" i="121" s="1"/>
  <c r="C551" i="121" s="1"/>
  <c r="C646" i="121" s="1"/>
  <c r="C741" i="121" s="1"/>
  <c r="B171" i="121"/>
  <c r="B266" i="121" s="1"/>
  <c r="B361" i="121" s="1"/>
  <c r="B456" i="121" s="1"/>
  <c r="B551" i="121" s="1"/>
  <c r="B646" i="121" s="1"/>
  <c r="B741" i="121" s="1"/>
  <c r="M170" i="121"/>
  <c r="M169" i="121"/>
  <c r="C169" i="121"/>
  <c r="C264" i="121" s="1"/>
  <c r="C359" i="121" s="1"/>
  <c r="C454" i="121" s="1"/>
  <c r="C549" i="121" s="1"/>
  <c r="C644" i="121" s="1"/>
  <c r="C739" i="121" s="1"/>
  <c r="A169" i="121"/>
  <c r="M168" i="121"/>
  <c r="M167" i="121"/>
  <c r="C167" i="121"/>
  <c r="C262" i="121" s="1"/>
  <c r="C357" i="121" s="1"/>
  <c r="C452" i="121" s="1"/>
  <c r="C547" i="121" s="1"/>
  <c r="C642" i="121" s="1"/>
  <c r="C737" i="121" s="1"/>
  <c r="B167" i="121"/>
  <c r="B262" i="121" s="1"/>
  <c r="B357" i="121" s="1"/>
  <c r="B452" i="121" s="1"/>
  <c r="B547" i="121" s="1"/>
  <c r="B642" i="121" s="1"/>
  <c r="B737" i="121" s="1"/>
  <c r="O166" i="121"/>
  <c r="M166" i="121"/>
  <c r="M165" i="121"/>
  <c r="O165" i="121" s="1"/>
  <c r="F165" i="121"/>
  <c r="F260" i="121" s="1"/>
  <c r="O164" i="121"/>
  <c r="P164" i="121" s="1"/>
  <c r="M164" i="121"/>
  <c r="D164" i="121"/>
  <c r="D259" i="121" s="1"/>
  <c r="D354" i="121" s="1"/>
  <c r="D449" i="121" s="1"/>
  <c r="D544" i="121" s="1"/>
  <c r="D639" i="121" s="1"/>
  <c r="D734" i="121" s="1"/>
  <c r="A164" i="121"/>
  <c r="A259" i="121" s="1"/>
  <c r="A354" i="121" s="1"/>
  <c r="A449" i="121" s="1"/>
  <c r="A544" i="121" s="1"/>
  <c r="A639" i="121" s="1"/>
  <c r="A734" i="121" s="1"/>
  <c r="P163" i="121"/>
  <c r="M163" i="121"/>
  <c r="O163" i="121" s="1"/>
  <c r="F163" i="121"/>
  <c r="E163" i="121"/>
  <c r="E258" i="121" s="1"/>
  <c r="E353" i="121" s="1"/>
  <c r="E448" i="121" s="1"/>
  <c r="E543" i="121" s="1"/>
  <c r="E638" i="121" s="1"/>
  <c r="E733" i="121" s="1"/>
  <c r="B163" i="121"/>
  <c r="B258" i="121" s="1"/>
  <c r="B353" i="121" s="1"/>
  <c r="B448" i="121" s="1"/>
  <c r="B543" i="121" s="1"/>
  <c r="B638" i="121" s="1"/>
  <c r="B733" i="121" s="1"/>
  <c r="M162" i="121"/>
  <c r="B162" i="121"/>
  <c r="B257" i="121" s="1"/>
  <c r="B352" i="121" s="1"/>
  <c r="B447" i="121" s="1"/>
  <c r="B542" i="121" s="1"/>
  <c r="B637" i="121" s="1"/>
  <c r="B732" i="121" s="1"/>
  <c r="A162" i="121"/>
  <c r="A257" i="121" s="1"/>
  <c r="A352" i="121" s="1"/>
  <c r="A447" i="121" s="1"/>
  <c r="A542" i="121" s="1"/>
  <c r="A637" i="121" s="1"/>
  <c r="A732" i="121" s="1"/>
  <c r="M161" i="121"/>
  <c r="O161" i="121" s="1"/>
  <c r="A161" i="121"/>
  <c r="A256" i="121" s="1"/>
  <c r="A351" i="121" s="1"/>
  <c r="A446" i="121" s="1"/>
  <c r="A541" i="121" s="1"/>
  <c r="A636" i="121" s="1"/>
  <c r="A731" i="121" s="1"/>
  <c r="P160" i="121"/>
  <c r="O160" i="121"/>
  <c r="M160" i="121"/>
  <c r="M159" i="121"/>
  <c r="B159" i="121"/>
  <c r="B254" i="121" s="1"/>
  <c r="B349" i="121" s="1"/>
  <c r="B444" i="121" s="1"/>
  <c r="B539" i="121" s="1"/>
  <c r="B634" i="121" s="1"/>
  <c r="B729" i="121" s="1"/>
  <c r="M158" i="121"/>
  <c r="D158" i="121"/>
  <c r="D253" i="121" s="1"/>
  <c r="D348" i="121" s="1"/>
  <c r="D443" i="121" s="1"/>
  <c r="D538" i="121" s="1"/>
  <c r="D633" i="121" s="1"/>
  <c r="D728" i="121" s="1"/>
  <c r="M157" i="121"/>
  <c r="G157" i="121"/>
  <c r="G252" i="121" s="1"/>
  <c r="F157" i="121"/>
  <c r="F252" i="121" s="1"/>
  <c r="F347" i="121" s="1"/>
  <c r="F442" i="121" s="1"/>
  <c r="M156" i="121"/>
  <c r="D156" i="121"/>
  <c r="D251" i="121" s="1"/>
  <c r="D346" i="121" s="1"/>
  <c r="D441" i="121" s="1"/>
  <c r="D536" i="121" s="1"/>
  <c r="D631" i="121" s="1"/>
  <c r="D726" i="121" s="1"/>
  <c r="C156" i="121"/>
  <c r="C251" i="121" s="1"/>
  <c r="C346" i="121" s="1"/>
  <c r="C441" i="121" s="1"/>
  <c r="C536" i="121" s="1"/>
  <c r="C631" i="121" s="1"/>
  <c r="C726" i="121" s="1"/>
  <c r="P155" i="121"/>
  <c r="O155" i="121"/>
  <c r="M155" i="121"/>
  <c r="E155" i="121"/>
  <c r="D155" i="121"/>
  <c r="D250" i="121" s="1"/>
  <c r="D345" i="121" s="1"/>
  <c r="D440" i="121" s="1"/>
  <c r="D535" i="121" s="1"/>
  <c r="D630" i="121" s="1"/>
  <c r="D725" i="121" s="1"/>
  <c r="C155" i="121"/>
  <c r="C250" i="121" s="1"/>
  <c r="C345" i="121" s="1"/>
  <c r="C440" i="121" s="1"/>
  <c r="C535" i="121" s="1"/>
  <c r="C630" i="121" s="1"/>
  <c r="C725" i="121" s="1"/>
  <c r="B155" i="121"/>
  <c r="B250" i="121" s="1"/>
  <c r="B345" i="121" s="1"/>
  <c r="B440" i="121" s="1"/>
  <c r="B535" i="121" s="1"/>
  <c r="B630" i="121" s="1"/>
  <c r="B725" i="121" s="1"/>
  <c r="M154" i="121"/>
  <c r="O154" i="121" s="1"/>
  <c r="F154" i="121"/>
  <c r="F249" i="121" s="1"/>
  <c r="O153" i="121"/>
  <c r="M153" i="121"/>
  <c r="D153" i="121"/>
  <c r="D248" i="121" s="1"/>
  <c r="D343" i="121" s="1"/>
  <c r="D438" i="121" s="1"/>
  <c r="D533" i="121" s="1"/>
  <c r="D628" i="121" s="1"/>
  <c r="D723" i="121" s="1"/>
  <c r="M152" i="121"/>
  <c r="O152" i="121" s="1"/>
  <c r="C152" i="121"/>
  <c r="C247" i="121" s="1"/>
  <c r="C342" i="121" s="1"/>
  <c r="C437" i="121" s="1"/>
  <c r="C532" i="121" s="1"/>
  <c r="C627" i="121" s="1"/>
  <c r="C722" i="121" s="1"/>
  <c r="M151" i="121"/>
  <c r="A151" i="121"/>
  <c r="A246" i="121" s="1"/>
  <c r="A341" i="121" s="1"/>
  <c r="A436" i="121" s="1"/>
  <c r="A531" i="121" s="1"/>
  <c r="A626" i="121" s="1"/>
  <c r="A721" i="121" s="1"/>
  <c r="M150" i="121"/>
  <c r="C150" i="121"/>
  <c r="C245" i="121" s="1"/>
  <c r="C340" i="121" s="1"/>
  <c r="C435" i="121" s="1"/>
  <c r="C530" i="121" s="1"/>
  <c r="C625" i="121" s="1"/>
  <c r="C720" i="121" s="1"/>
  <c r="B150" i="121"/>
  <c r="B245" i="121" s="1"/>
  <c r="B340" i="121" s="1"/>
  <c r="B435" i="121" s="1"/>
  <c r="B530" i="121" s="1"/>
  <c r="B625" i="121" s="1"/>
  <c r="B720" i="121" s="1"/>
  <c r="P149" i="121"/>
  <c r="O149" i="121"/>
  <c r="M149" i="121"/>
  <c r="F149" i="121"/>
  <c r="F244" i="121" s="1"/>
  <c r="E149" i="121"/>
  <c r="E244" i="121" s="1"/>
  <c r="E339" i="121" s="1"/>
  <c r="E434" i="121" s="1"/>
  <c r="E529" i="121" s="1"/>
  <c r="E624" i="121" s="1"/>
  <c r="E719" i="121" s="1"/>
  <c r="M148" i="121"/>
  <c r="C148" i="121"/>
  <c r="C243" i="121" s="1"/>
  <c r="C338" i="121" s="1"/>
  <c r="C433" i="121" s="1"/>
  <c r="C528" i="121" s="1"/>
  <c r="C623" i="121" s="1"/>
  <c r="C718" i="121" s="1"/>
  <c r="B148" i="121"/>
  <c r="B243" i="121" s="1"/>
  <c r="B338" i="121" s="1"/>
  <c r="B433" i="121" s="1"/>
  <c r="B528" i="121" s="1"/>
  <c r="B623" i="121" s="1"/>
  <c r="B718" i="121" s="1"/>
  <c r="O147" i="121"/>
  <c r="M147" i="121"/>
  <c r="D147" i="121"/>
  <c r="D242" i="121" s="1"/>
  <c r="D337" i="121" s="1"/>
  <c r="D432" i="121" s="1"/>
  <c r="D527" i="121" s="1"/>
  <c r="D622" i="121" s="1"/>
  <c r="D717" i="121" s="1"/>
  <c r="C147" i="121"/>
  <c r="C242" i="121" s="1"/>
  <c r="C337" i="121" s="1"/>
  <c r="C432" i="121" s="1"/>
  <c r="C527" i="121" s="1"/>
  <c r="C622" i="121" s="1"/>
  <c r="C717" i="121" s="1"/>
  <c r="B147" i="121"/>
  <c r="B242" i="121" s="1"/>
  <c r="B337" i="121" s="1"/>
  <c r="B432" i="121" s="1"/>
  <c r="B527" i="121" s="1"/>
  <c r="B622" i="121" s="1"/>
  <c r="B717" i="121" s="1"/>
  <c r="M146" i="121"/>
  <c r="O146" i="121" s="1"/>
  <c r="P146" i="121" s="1"/>
  <c r="E146" i="121"/>
  <c r="E241" i="121" s="1"/>
  <c r="E336" i="121" s="1"/>
  <c r="E431" i="121" s="1"/>
  <c r="E526" i="121" s="1"/>
  <c r="E621" i="121" s="1"/>
  <c r="E716" i="121" s="1"/>
  <c r="M145" i="121"/>
  <c r="D145" i="121"/>
  <c r="D240" i="121" s="1"/>
  <c r="D335" i="121" s="1"/>
  <c r="D430" i="121" s="1"/>
  <c r="D525" i="121" s="1"/>
  <c r="D620" i="121" s="1"/>
  <c r="D715" i="121" s="1"/>
  <c r="M144" i="121"/>
  <c r="F144" i="121"/>
  <c r="B144" i="121"/>
  <c r="B239" i="121" s="1"/>
  <c r="B334" i="121" s="1"/>
  <c r="B429" i="121" s="1"/>
  <c r="B524" i="121" s="1"/>
  <c r="B619" i="121" s="1"/>
  <c r="B714" i="121" s="1"/>
  <c r="M143" i="121"/>
  <c r="O142" i="121"/>
  <c r="M142" i="121"/>
  <c r="D142" i="121"/>
  <c r="D237" i="121" s="1"/>
  <c r="D332" i="121" s="1"/>
  <c r="D427" i="121" s="1"/>
  <c r="D522" i="121" s="1"/>
  <c r="D617" i="121" s="1"/>
  <c r="D712" i="121" s="1"/>
  <c r="P141" i="121"/>
  <c r="O141" i="121"/>
  <c r="M141" i="121"/>
  <c r="E141" i="121"/>
  <c r="E236" i="121" s="1"/>
  <c r="E331" i="121" s="1"/>
  <c r="E426" i="121" s="1"/>
  <c r="E521" i="121" s="1"/>
  <c r="E616" i="121" s="1"/>
  <c r="E711" i="121" s="1"/>
  <c r="D141" i="121"/>
  <c r="D236" i="121" s="1"/>
  <c r="D331" i="121" s="1"/>
  <c r="D426" i="121" s="1"/>
  <c r="D521" i="121" s="1"/>
  <c r="D616" i="121" s="1"/>
  <c r="D711" i="121" s="1"/>
  <c r="C141" i="121"/>
  <c r="C236" i="121" s="1"/>
  <c r="C331" i="121" s="1"/>
  <c r="M140" i="121"/>
  <c r="A140" i="121"/>
  <c r="A235" i="121" s="1"/>
  <c r="M139" i="121"/>
  <c r="P138" i="121"/>
  <c r="O138" i="121"/>
  <c r="M138" i="121"/>
  <c r="E138" i="121"/>
  <c r="E233" i="121" s="1"/>
  <c r="M137" i="121"/>
  <c r="C137" i="121"/>
  <c r="C232" i="121" s="1"/>
  <c r="C327" i="121" s="1"/>
  <c r="C422" i="121" s="1"/>
  <c r="C517" i="121" s="1"/>
  <c r="C612" i="121" s="1"/>
  <c r="C707" i="121" s="1"/>
  <c r="M136" i="121"/>
  <c r="D136" i="121"/>
  <c r="D231" i="121" s="1"/>
  <c r="D326" i="121" s="1"/>
  <c r="D421" i="121" s="1"/>
  <c r="D516" i="121" s="1"/>
  <c r="D611" i="121" s="1"/>
  <c r="D706" i="121" s="1"/>
  <c r="C136" i="121"/>
  <c r="C231" i="121" s="1"/>
  <c r="C326" i="121" s="1"/>
  <c r="C421" i="121" s="1"/>
  <c r="C516" i="121" s="1"/>
  <c r="C611" i="121" s="1"/>
  <c r="C706" i="121" s="1"/>
  <c r="M135" i="121"/>
  <c r="O135" i="121" s="1"/>
  <c r="P135" i="121" s="1"/>
  <c r="E135" i="121"/>
  <c r="E230" i="121" s="1"/>
  <c r="E325" i="121" s="1"/>
  <c r="E420" i="121" s="1"/>
  <c r="E515" i="121" s="1"/>
  <c r="E610" i="121" s="1"/>
  <c r="E705" i="121" s="1"/>
  <c r="M134" i="121"/>
  <c r="D134" i="121"/>
  <c r="D229" i="121" s="1"/>
  <c r="D324" i="121" s="1"/>
  <c r="D419" i="121" s="1"/>
  <c r="D514" i="121" s="1"/>
  <c r="D609" i="121" s="1"/>
  <c r="D704" i="121" s="1"/>
  <c r="C134" i="121"/>
  <c r="C229" i="121" s="1"/>
  <c r="C324" i="121" s="1"/>
  <c r="C419" i="121" s="1"/>
  <c r="C514" i="121" s="1"/>
  <c r="C609" i="121" s="1"/>
  <c r="C704" i="121" s="1"/>
  <c r="P133" i="121"/>
  <c r="O133" i="121"/>
  <c r="M133" i="121"/>
  <c r="F133" i="121"/>
  <c r="E133" i="121"/>
  <c r="E228" i="121" s="1"/>
  <c r="E323" i="121" s="1"/>
  <c r="E418" i="121" s="1"/>
  <c r="E513" i="121" s="1"/>
  <c r="E608" i="121" s="1"/>
  <c r="E703" i="121" s="1"/>
  <c r="D133" i="121"/>
  <c r="D228" i="121" s="1"/>
  <c r="D323" i="121" s="1"/>
  <c r="D418" i="121" s="1"/>
  <c r="D513" i="121" s="1"/>
  <c r="D608" i="121" s="1"/>
  <c r="D703" i="121" s="1"/>
  <c r="B133" i="121"/>
  <c r="B228" i="121" s="1"/>
  <c r="B323" i="121" s="1"/>
  <c r="B418" i="121" s="1"/>
  <c r="B513" i="121" s="1"/>
  <c r="B608" i="121" s="1"/>
  <c r="B703" i="121" s="1"/>
  <c r="M132" i="121"/>
  <c r="O132" i="121" s="1"/>
  <c r="F132" i="121"/>
  <c r="F227" i="121" s="1"/>
  <c r="C132" i="121"/>
  <c r="C227" i="121" s="1"/>
  <c r="C322" i="121" s="1"/>
  <c r="C417" i="121" s="1"/>
  <c r="C512" i="121" s="1"/>
  <c r="C607" i="121" s="1"/>
  <c r="C702" i="121" s="1"/>
  <c r="O131" i="121"/>
  <c r="M131" i="121"/>
  <c r="A131" i="121"/>
  <c r="A226" i="121" s="1"/>
  <c r="A321" i="121" s="1"/>
  <c r="A416" i="121" s="1"/>
  <c r="A511" i="121" s="1"/>
  <c r="A606" i="121" s="1"/>
  <c r="A701" i="121" s="1"/>
  <c r="P130" i="121"/>
  <c r="O130" i="121"/>
  <c r="M130" i="121"/>
  <c r="F130" i="121"/>
  <c r="E130" i="121"/>
  <c r="E225" i="121" s="1"/>
  <c r="E320" i="121" s="1"/>
  <c r="E415" i="121" s="1"/>
  <c r="E510" i="121" s="1"/>
  <c r="E605" i="121" s="1"/>
  <c r="E700" i="121" s="1"/>
  <c r="D130" i="121"/>
  <c r="D225" i="121" s="1"/>
  <c r="D320" i="121" s="1"/>
  <c r="C130" i="121"/>
  <c r="C225" i="121" s="1"/>
  <c r="C320" i="121" s="1"/>
  <c r="M129" i="121"/>
  <c r="E129" i="121"/>
  <c r="E224" i="121" s="1"/>
  <c r="E319" i="121" s="1"/>
  <c r="E414" i="121" s="1"/>
  <c r="E509" i="121" s="1"/>
  <c r="E604" i="121" s="1"/>
  <c r="E699" i="121" s="1"/>
  <c r="A129" i="121"/>
  <c r="A224" i="121" s="1"/>
  <c r="A319" i="121" s="1"/>
  <c r="A414" i="121" s="1"/>
  <c r="A509" i="121" s="1"/>
  <c r="A604" i="121" s="1"/>
  <c r="A699" i="121" s="1"/>
  <c r="M128" i="121"/>
  <c r="B128" i="121"/>
  <c r="B223" i="121" s="1"/>
  <c r="B318" i="121" s="1"/>
  <c r="B413" i="121" s="1"/>
  <c r="B508" i="121" s="1"/>
  <c r="B603" i="121" s="1"/>
  <c r="B698" i="121" s="1"/>
  <c r="A128" i="121"/>
  <c r="A223" i="121" s="1"/>
  <c r="A318" i="121" s="1"/>
  <c r="A413" i="121" s="1"/>
  <c r="A508" i="121" s="1"/>
  <c r="A603" i="121" s="1"/>
  <c r="A698" i="121" s="1"/>
  <c r="P127" i="121"/>
  <c r="O127" i="121"/>
  <c r="M127" i="121"/>
  <c r="E127" i="121"/>
  <c r="E222" i="121" s="1"/>
  <c r="E317" i="121" s="1"/>
  <c r="E412" i="121" s="1"/>
  <c r="E507" i="121" s="1"/>
  <c r="E602" i="121" s="1"/>
  <c r="E697" i="121" s="1"/>
  <c r="D127" i="121"/>
  <c r="D222" i="121" s="1"/>
  <c r="D317" i="121" s="1"/>
  <c r="D412" i="121" s="1"/>
  <c r="D507" i="121" s="1"/>
  <c r="D602" i="121" s="1"/>
  <c r="D697" i="121" s="1"/>
  <c r="M126" i="121"/>
  <c r="C126" i="121"/>
  <c r="C221" i="121" s="1"/>
  <c r="C316" i="121" s="1"/>
  <c r="C411" i="121" s="1"/>
  <c r="C506" i="121" s="1"/>
  <c r="C601" i="121" s="1"/>
  <c r="C696" i="121" s="1"/>
  <c r="B126" i="121"/>
  <c r="B221" i="121" s="1"/>
  <c r="B316" i="121" s="1"/>
  <c r="B411" i="121" s="1"/>
  <c r="B506" i="121" s="1"/>
  <c r="B601" i="121" s="1"/>
  <c r="B696" i="121" s="1"/>
  <c r="O125" i="121"/>
  <c r="M125" i="121"/>
  <c r="A125" i="121"/>
  <c r="A220" i="121" s="1"/>
  <c r="A315" i="121" s="1"/>
  <c r="M124" i="121"/>
  <c r="O124" i="121" s="1"/>
  <c r="F124" i="121"/>
  <c r="F219" i="121" s="1"/>
  <c r="C124" i="121"/>
  <c r="C219" i="121" s="1"/>
  <c r="C314" i="121" s="1"/>
  <c r="C409" i="121" s="1"/>
  <c r="C504" i="121" s="1"/>
  <c r="C599" i="121" s="1"/>
  <c r="C694" i="121" s="1"/>
  <c r="O123" i="121"/>
  <c r="M123" i="121"/>
  <c r="A123" i="121"/>
  <c r="A218" i="121" s="1"/>
  <c r="A313" i="121" s="1"/>
  <c r="A408" i="121" s="1"/>
  <c r="A503" i="121" s="1"/>
  <c r="A598" i="121" s="1"/>
  <c r="A693" i="121" s="1"/>
  <c r="P122" i="121"/>
  <c r="O122" i="121"/>
  <c r="M122" i="121"/>
  <c r="F122" i="121"/>
  <c r="F217" i="121" s="1"/>
  <c r="E122" i="121"/>
  <c r="E217" i="121" s="1"/>
  <c r="E312" i="121" s="1"/>
  <c r="E407" i="121" s="1"/>
  <c r="E502" i="121" s="1"/>
  <c r="E597" i="121" s="1"/>
  <c r="E692" i="121" s="1"/>
  <c r="D122" i="121"/>
  <c r="D217" i="121" s="1"/>
  <c r="D312" i="121" s="1"/>
  <c r="D407" i="121" s="1"/>
  <c r="D502" i="121" s="1"/>
  <c r="D597" i="121" s="1"/>
  <c r="D692" i="121" s="1"/>
  <c r="C122" i="121"/>
  <c r="C217" i="121" s="1"/>
  <c r="C312" i="121" s="1"/>
  <c r="C407" i="121" s="1"/>
  <c r="C502" i="121" s="1"/>
  <c r="C597" i="121" s="1"/>
  <c r="C692" i="121" s="1"/>
  <c r="M121" i="121"/>
  <c r="E121" i="121"/>
  <c r="E216" i="121" s="1"/>
  <c r="E311" i="121" s="1"/>
  <c r="E406" i="121" s="1"/>
  <c r="E501" i="121" s="1"/>
  <c r="E596" i="121" s="1"/>
  <c r="E691" i="121" s="1"/>
  <c r="A121" i="121"/>
  <c r="A216" i="121" s="1"/>
  <c r="A311" i="121" s="1"/>
  <c r="A406" i="121" s="1"/>
  <c r="A501" i="121" s="1"/>
  <c r="A596" i="121" s="1"/>
  <c r="A691" i="121" s="1"/>
  <c r="P120" i="121"/>
  <c r="M120" i="121"/>
  <c r="O120" i="121" s="1"/>
  <c r="A120" i="121"/>
  <c r="A215" i="121" s="1"/>
  <c r="A310" i="121" s="1"/>
  <c r="A405" i="121" s="1"/>
  <c r="A500" i="121" s="1"/>
  <c r="A595" i="121" s="1"/>
  <c r="A690" i="121" s="1"/>
  <c r="O119" i="121"/>
  <c r="P119" i="121" s="1"/>
  <c r="M119" i="121"/>
  <c r="E119" i="121"/>
  <c r="E214" i="121" s="1"/>
  <c r="E309" i="121" s="1"/>
  <c r="E404" i="121" s="1"/>
  <c r="E499" i="121" s="1"/>
  <c r="E594" i="121" s="1"/>
  <c r="E689" i="121" s="1"/>
  <c r="M118" i="121"/>
  <c r="C118" i="121"/>
  <c r="C213" i="121" s="1"/>
  <c r="C308" i="121" s="1"/>
  <c r="C403" i="121" s="1"/>
  <c r="C498" i="121" s="1"/>
  <c r="C593" i="121" s="1"/>
  <c r="C688" i="121" s="1"/>
  <c r="B118" i="121"/>
  <c r="B213" i="121" s="1"/>
  <c r="B308" i="121" s="1"/>
  <c r="B403" i="121" s="1"/>
  <c r="B498" i="121" s="1"/>
  <c r="B593" i="121" s="1"/>
  <c r="B688" i="121" s="1"/>
  <c r="M117" i="121"/>
  <c r="D117" i="121"/>
  <c r="D212" i="121" s="1"/>
  <c r="D307" i="121" s="1"/>
  <c r="D402" i="121" s="1"/>
  <c r="D497" i="121" s="1"/>
  <c r="D592" i="121" s="1"/>
  <c r="D687" i="121" s="1"/>
  <c r="C117" i="121"/>
  <c r="C212" i="121" s="1"/>
  <c r="C307" i="121" s="1"/>
  <c r="C402" i="121" s="1"/>
  <c r="C497" i="121" s="1"/>
  <c r="C592" i="121" s="1"/>
  <c r="C687" i="121" s="1"/>
  <c r="B117" i="121"/>
  <c r="B212" i="121" s="1"/>
  <c r="B307" i="121" s="1"/>
  <c r="B402" i="121" s="1"/>
  <c r="B497" i="121" s="1"/>
  <c r="B592" i="121" s="1"/>
  <c r="B687" i="121" s="1"/>
  <c r="A117" i="121"/>
  <c r="A212" i="121" s="1"/>
  <c r="A307" i="121" s="1"/>
  <c r="A402" i="121" s="1"/>
  <c r="A497" i="121" s="1"/>
  <c r="A592" i="121" s="1"/>
  <c r="A687" i="121" s="1"/>
  <c r="O116" i="121"/>
  <c r="P116" i="121" s="1"/>
  <c r="M116" i="121"/>
  <c r="F116" i="121"/>
  <c r="F211" i="121" s="1"/>
  <c r="E116" i="121"/>
  <c r="E211" i="121" s="1"/>
  <c r="E306" i="121" s="1"/>
  <c r="E401" i="121" s="1"/>
  <c r="E496" i="121" s="1"/>
  <c r="E591" i="121" s="1"/>
  <c r="E686" i="121" s="1"/>
  <c r="O115" i="121"/>
  <c r="M115" i="121"/>
  <c r="E115" i="121"/>
  <c r="E210" i="121" s="1"/>
  <c r="E305" i="121" s="1"/>
  <c r="E400" i="121" s="1"/>
  <c r="E495" i="121" s="1"/>
  <c r="E590" i="121" s="1"/>
  <c r="E685" i="121" s="1"/>
  <c r="D115" i="121"/>
  <c r="D210" i="121" s="1"/>
  <c r="D305" i="121" s="1"/>
  <c r="D400" i="121" s="1"/>
  <c r="D495" i="121" s="1"/>
  <c r="D590" i="121" s="1"/>
  <c r="D685" i="121" s="1"/>
  <c r="C115" i="121"/>
  <c r="C210" i="121" s="1"/>
  <c r="C305" i="121" s="1"/>
  <c r="C400" i="121" s="1"/>
  <c r="C495" i="121" s="1"/>
  <c r="C590" i="121" s="1"/>
  <c r="C685" i="121" s="1"/>
  <c r="P114" i="121"/>
  <c r="O114" i="121"/>
  <c r="M114" i="121"/>
  <c r="D114" i="121"/>
  <c r="D209" i="121" s="1"/>
  <c r="D304" i="121" s="1"/>
  <c r="D399" i="121" s="1"/>
  <c r="D494" i="121" s="1"/>
  <c r="D589" i="121" s="1"/>
  <c r="D684" i="121" s="1"/>
  <c r="C114" i="121"/>
  <c r="C209" i="121" s="1"/>
  <c r="C304" i="121" s="1"/>
  <c r="C399" i="121" s="1"/>
  <c r="C494" i="121" s="1"/>
  <c r="C589" i="121" s="1"/>
  <c r="C684" i="121" s="1"/>
  <c r="A114" i="121"/>
  <c r="A209" i="121" s="1"/>
  <c r="A304" i="121" s="1"/>
  <c r="A399" i="121" s="1"/>
  <c r="A494" i="121" s="1"/>
  <c r="A589" i="121" s="1"/>
  <c r="A684" i="121" s="1"/>
  <c r="M113" i="121"/>
  <c r="C113" i="121"/>
  <c r="C208" i="121" s="1"/>
  <c r="C303" i="121" s="1"/>
  <c r="C398" i="121" s="1"/>
  <c r="C493" i="121" s="1"/>
  <c r="C588" i="121" s="1"/>
  <c r="C683" i="121" s="1"/>
  <c r="M112" i="121"/>
  <c r="O112" i="121" s="1"/>
  <c r="P112" i="121" s="1"/>
  <c r="B112" i="121"/>
  <c r="B207" i="121" s="1"/>
  <c r="B302" i="121" s="1"/>
  <c r="B397" i="121" s="1"/>
  <c r="B492" i="121" s="1"/>
  <c r="B587" i="121" s="1"/>
  <c r="B682" i="121" s="1"/>
  <c r="A112" i="121"/>
  <c r="A207" i="121" s="1"/>
  <c r="A302" i="121" s="1"/>
  <c r="A397" i="121" s="1"/>
  <c r="A492" i="121" s="1"/>
  <c r="A587" i="121" s="1"/>
  <c r="A682" i="121" s="1"/>
  <c r="M111" i="121"/>
  <c r="O111" i="121" s="1"/>
  <c r="P111" i="121" s="1"/>
  <c r="F111" i="121"/>
  <c r="F206" i="121" s="1"/>
  <c r="M110" i="121"/>
  <c r="E110" i="121"/>
  <c r="E205" i="121" s="1"/>
  <c r="E300" i="121" s="1"/>
  <c r="E395" i="121" s="1"/>
  <c r="E490" i="121" s="1"/>
  <c r="E585" i="121" s="1"/>
  <c r="E680" i="121" s="1"/>
  <c r="B110" i="121"/>
  <c r="B205" i="121" s="1"/>
  <c r="B300" i="121" s="1"/>
  <c r="B395" i="121" s="1"/>
  <c r="B490" i="121" s="1"/>
  <c r="B585" i="121" s="1"/>
  <c r="B680" i="121" s="1"/>
  <c r="M109" i="121"/>
  <c r="G109" i="121"/>
  <c r="G204" i="121" s="1"/>
  <c r="G299" i="121" s="1"/>
  <c r="G394" i="121" s="1"/>
  <c r="G489" i="121" s="1"/>
  <c r="G584" i="121" s="1"/>
  <c r="G679" i="121" s="1"/>
  <c r="M108" i="121"/>
  <c r="E108" i="121"/>
  <c r="E203" i="121" s="1"/>
  <c r="E298" i="121" s="1"/>
  <c r="E393" i="121" s="1"/>
  <c r="E488" i="121" s="1"/>
  <c r="E583" i="121" s="1"/>
  <c r="E678" i="121" s="1"/>
  <c r="O107" i="121"/>
  <c r="P107" i="121" s="1"/>
  <c r="M107" i="121"/>
  <c r="E107" i="121"/>
  <c r="E202" i="121" s="1"/>
  <c r="E297" i="121" s="1"/>
  <c r="E392" i="121" s="1"/>
  <c r="E487" i="121" s="1"/>
  <c r="E582" i="121" s="1"/>
  <c r="E677" i="121" s="1"/>
  <c r="C107" i="121"/>
  <c r="C202" i="121" s="1"/>
  <c r="C297" i="121" s="1"/>
  <c r="C392" i="121" s="1"/>
  <c r="C487" i="121" s="1"/>
  <c r="C582" i="121" s="1"/>
  <c r="C677" i="121" s="1"/>
  <c r="M106" i="121"/>
  <c r="F106" i="121"/>
  <c r="J195" i="121"/>
  <c r="C105" i="121"/>
  <c r="C200" i="121" s="1"/>
  <c r="C295" i="121" s="1"/>
  <c r="C390" i="121" s="1"/>
  <c r="C485" i="121" s="1"/>
  <c r="C580" i="121" s="1"/>
  <c r="C675" i="121" s="1"/>
  <c r="B105" i="121"/>
  <c r="B200" i="121" s="1"/>
  <c r="B295" i="121" s="1"/>
  <c r="B390" i="121" s="1"/>
  <c r="B485" i="121" s="1"/>
  <c r="B580" i="121" s="1"/>
  <c r="B675" i="121" s="1"/>
  <c r="A105" i="121"/>
  <c r="A200" i="121" s="1"/>
  <c r="A295" i="121" s="1"/>
  <c r="A390" i="121" s="1"/>
  <c r="A485" i="121" s="1"/>
  <c r="A580" i="121" s="1"/>
  <c r="A675" i="121" s="1"/>
  <c r="B104" i="121"/>
  <c r="B199" i="121" s="1"/>
  <c r="B294" i="121" s="1"/>
  <c r="B389" i="121" s="1"/>
  <c r="B484" i="121" s="1"/>
  <c r="B579" i="121" s="1"/>
  <c r="B674" i="121" s="1"/>
  <c r="B103" i="121"/>
  <c r="B198" i="121" s="1"/>
  <c r="B293" i="121" s="1"/>
  <c r="B388" i="121" s="1"/>
  <c r="B483" i="121" s="1"/>
  <c r="B578" i="121" s="1"/>
  <c r="B673" i="121" s="1"/>
  <c r="L100" i="121"/>
  <c r="K100" i="121"/>
  <c r="M99" i="121"/>
  <c r="G194" i="121"/>
  <c r="G289" i="121" s="1"/>
  <c r="G384" i="121" s="1"/>
  <c r="G479" i="121" s="1"/>
  <c r="G574" i="121" s="1"/>
  <c r="G669" i="121" s="1"/>
  <c r="G764" i="121" s="1"/>
  <c r="E194" i="121"/>
  <c r="E289" i="121" s="1"/>
  <c r="E384" i="121" s="1"/>
  <c r="E479" i="121" s="1"/>
  <c r="E574" i="121" s="1"/>
  <c r="E669" i="121" s="1"/>
  <c r="E764" i="121" s="1"/>
  <c r="M98" i="121"/>
  <c r="F193" i="121"/>
  <c r="E193" i="121"/>
  <c r="E288" i="121" s="1"/>
  <c r="E383" i="121" s="1"/>
  <c r="E478" i="121" s="1"/>
  <c r="E573" i="121" s="1"/>
  <c r="E668" i="121" s="1"/>
  <c r="E763" i="121" s="1"/>
  <c r="B193" i="121"/>
  <c r="B288" i="121" s="1"/>
  <c r="B383" i="121" s="1"/>
  <c r="B478" i="121" s="1"/>
  <c r="B573" i="121" s="1"/>
  <c r="B668" i="121" s="1"/>
  <c r="B763" i="121" s="1"/>
  <c r="M97" i="121"/>
  <c r="G192" i="121"/>
  <c r="G287" i="121" s="1"/>
  <c r="G382" i="121" s="1"/>
  <c r="G477" i="121" s="1"/>
  <c r="G572" i="121" s="1"/>
  <c r="G667" i="121" s="1"/>
  <c r="G762" i="121" s="1"/>
  <c r="E192" i="121"/>
  <c r="E287" i="121" s="1"/>
  <c r="E382" i="121" s="1"/>
  <c r="E477" i="121" s="1"/>
  <c r="E572" i="121" s="1"/>
  <c r="E667" i="121" s="1"/>
  <c r="E762" i="121" s="1"/>
  <c r="B192" i="121"/>
  <c r="B287" i="121" s="1"/>
  <c r="B382" i="121" s="1"/>
  <c r="B477" i="121" s="1"/>
  <c r="B572" i="121" s="1"/>
  <c r="B667" i="121" s="1"/>
  <c r="B762" i="121" s="1"/>
  <c r="A192" i="121"/>
  <c r="A287" i="121" s="1"/>
  <c r="A382" i="121" s="1"/>
  <c r="A477" i="121" s="1"/>
  <c r="A572" i="121" s="1"/>
  <c r="A667" i="121" s="1"/>
  <c r="A762" i="121" s="1"/>
  <c r="M96" i="121"/>
  <c r="G191" i="121"/>
  <c r="G286" i="121" s="1"/>
  <c r="G381" i="121" s="1"/>
  <c r="G476" i="121" s="1"/>
  <c r="G571" i="121" s="1"/>
  <c r="G666" i="121" s="1"/>
  <c r="G761" i="121" s="1"/>
  <c r="E191" i="121"/>
  <c r="B191" i="121"/>
  <c r="B286" i="121" s="1"/>
  <c r="M95" i="121"/>
  <c r="H95" i="121"/>
  <c r="E190" i="121"/>
  <c r="E285" i="121" s="1"/>
  <c r="E380" i="121" s="1"/>
  <c r="E475" i="121" s="1"/>
  <c r="E570" i="121" s="1"/>
  <c r="E665" i="121" s="1"/>
  <c r="E760" i="121" s="1"/>
  <c r="A190" i="121"/>
  <c r="A285" i="121" s="1"/>
  <c r="A380" i="121" s="1"/>
  <c r="A475" i="121" s="1"/>
  <c r="A570" i="121" s="1"/>
  <c r="A665" i="121" s="1"/>
  <c r="A760" i="121" s="1"/>
  <c r="M94" i="121"/>
  <c r="B189" i="121"/>
  <c r="M93" i="121"/>
  <c r="E188" i="121"/>
  <c r="E283" i="121" s="1"/>
  <c r="E378" i="121" s="1"/>
  <c r="E473" i="121" s="1"/>
  <c r="E568" i="121" s="1"/>
  <c r="E663" i="121" s="1"/>
  <c r="E758" i="121" s="1"/>
  <c r="B188" i="121"/>
  <c r="B283" i="121" s="1"/>
  <c r="B378" i="121" s="1"/>
  <c r="B473" i="121" s="1"/>
  <c r="B568" i="121" s="1"/>
  <c r="B663" i="121" s="1"/>
  <c r="B758" i="121" s="1"/>
  <c r="A188" i="121"/>
  <c r="A283" i="121" s="1"/>
  <c r="A378" i="121" s="1"/>
  <c r="A473" i="121" s="1"/>
  <c r="A568" i="121" s="1"/>
  <c r="A663" i="121" s="1"/>
  <c r="A758" i="121" s="1"/>
  <c r="M92" i="121"/>
  <c r="F187" i="121"/>
  <c r="E187" i="121"/>
  <c r="B187" i="121"/>
  <c r="B282" i="121" s="1"/>
  <c r="B377" i="121" s="1"/>
  <c r="B472" i="121" s="1"/>
  <c r="B567" i="121" s="1"/>
  <c r="B662" i="121" s="1"/>
  <c r="B757" i="121" s="1"/>
  <c r="A187" i="121"/>
  <c r="A282" i="121" s="1"/>
  <c r="A377" i="121" s="1"/>
  <c r="A472" i="121" s="1"/>
  <c r="A567" i="121" s="1"/>
  <c r="A662" i="121" s="1"/>
  <c r="A757" i="121" s="1"/>
  <c r="M91" i="121"/>
  <c r="G186" i="121"/>
  <c r="G281" i="121" s="1"/>
  <c r="G376" i="121" s="1"/>
  <c r="G471" i="121" s="1"/>
  <c r="G566" i="121" s="1"/>
  <c r="G661" i="121" s="1"/>
  <c r="G756" i="121" s="1"/>
  <c r="E186" i="121"/>
  <c r="E281" i="121" s="1"/>
  <c r="E376" i="121" s="1"/>
  <c r="E471" i="121" s="1"/>
  <c r="E566" i="121" s="1"/>
  <c r="E661" i="121" s="1"/>
  <c r="E756" i="121" s="1"/>
  <c r="A186" i="121"/>
  <c r="A281" i="121" s="1"/>
  <c r="A376" i="121" s="1"/>
  <c r="A471" i="121" s="1"/>
  <c r="A566" i="121" s="1"/>
  <c r="A661" i="121" s="1"/>
  <c r="A756" i="121" s="1"/>
  <c r="M90" i="121"/>
  <c r="F185" i="121"/>
  <c r="E185" i="121"/>
  <c r="E280" i="121" s="1"/>
  <c r="E375" i="121" s="1"/>
  <c r="E470" i="121" s="1"/>
  <c r="E565" i="121" s="1"/>
  <c r="E660" i="121" s="1"/>
  <c r="E755" i="121" s="1"/>
  <c r="B185" i="121"/>
  <c r="B280" i="121" s="1"/>
  <c r="B375" i="121" s="1"/>
  <c r="B470" i="121" s="1"/>
  <c r="B565" i="121" s="1"/>
  <c r="B660" i="121" s="1"/>
  <c r="B755" i="121" s="1"/>
  <c r="M89" i="121"/>
  <c r="G184" i="121"/>
  <c r="G279" i="121" s="1"/>
  <c r="G374" i="121" s="1"/>
  <c r="G469" i="121" s="1"/>
  <c r="G564" i="121" s="1"/>
  <c r="G659" i="121" s="1"/>
  <c r="G754" i="121" s="1"/>
  <c r="E184" i="121"/>
  <c r="E279" i="121" s="1"/>
  <c r="E374" i="121" s="1"/>
  <c r="E469" i="121" s="1"/>
  <c r="E564" i="121" s="1"/>
  <c r="E659" i="121" s="1"/>
  <c r="E754" i="121" s="1"/>
  <c r="B184" i="121"/>
  <c r="B279" i="121" s="1"/>
  <c r="B374" i="121" s="1"/>
  <c r="B469" i="121" s="1"/>
  <c r="B564" i="121" s="1"/>
  <c r="B659" i="121" s="1"/>
  <c r="B754" i="121" s="1"/>
  <c r="A184" i="121"/>
  <c r="A279" i="121" s="1"/>
  <c r="A374" i="121" s="1"/>
  <c r="A469" i="121" s="1"/>
  <c r="A564" i="121" s="1"/>
  <c r="A659" i="121" s="1"/>
  <c r="A754" i="121" s="1"/>
  <c r="M88" i="121"/>
  <c r="G183" i="121"/>
  <c r="G278" i="121" s="1"/>
  <c r="G373" i="121" s="1"/>
  <c r="G468" i="121" s="1"/>
  <c r="G563" i="121" s="1"/>
  <c r="G658" i="121" s="1"/>
  <c r="G753" i="121" s="1"/>
  <c r="E183" i="121"/>
  <c r="B183" i="121"/>
  <c r="M87" i="121"/>
  <c r="H87" i="121"/>
  <c r="E182" i="121"/>
  <c r="E277" i="121" s="1"/>
  <c r="E372" i="121" s="1"/>
  <c r="E467" i="121" s="1"/>
  <c r="E562" i="121" s="1"/>
  <c r="E657" i="121" s="1"/>
  <c r="E752" i="121" s="1"/>
  <c r="M86" i="121"/>
  <c r="G181" i="121" s="1"/>
  <c r="G276" i="121" s="1"/>
  <c r="G371" i="121" s="1"/>
  <c r="G466" i="121" s="1"/>
  <c r="G561" i="121" s="1"/>
  <c r="G656" i="121" s="1"/>
  <c r="G751" i="121" s="1"/>
  <c r="N86" i="121"/>
  <c r="H86" i="121"/>
  <c r="B181" i="121"/>
  <c r="B276" i="121" s="1"/>
  <c r="B371" i="121" s="1"/>
  <c r="B466" i="121" s="1"/>
  <c r="B561" i="121" s="1"/>
  <c r="B656" i="121" s="1"/>
  <c r="B751" i="121" s="1"/>
  <c r="M85" i="121"/>
  <c r="B180" i="121"/>
  <c r="B275" i="121" s="1"/>
  <c r="A180" i="121"/>
  <c r="A275" i="121" s="1"/>
  <c r="A370" i="121" s="1"/>
  <c r="A465" i="121" s="1"/>
  <c r="A560" i="121" s="1"/>
  <c r="A655" i="121" s="1"/>
  <c r="A750" i="121" s="1"/>
  <c r="M84" i="121"/>
  <c r="E179" i="121"/>
  <c r="E274" i="121" s="1"/>
  <c r="E369" i="121" s="1"/>
  <c r="E464" i="121" s="1"/>
  <c r="E559" i="121" s="1"/>
  <c r="E654" i="121" s="1"/>
  <c r="E749" i="121" s="1"/>
  <c r="B179" i="121"/>
  <c r="B274" i="121" s="1"/>
  <c r="B369" i="121" s="1"/>
  <c r="B464" i="121" s="1"/>
  <c r="B559" i="121" s="1"/>
  <c r="B654" i="121" s="1"/>
  <c r="B749" i="121" s="1"/>
  <c r="A179" i="121"/>
  <c r="A274" i="121" s="1"/>
  <c r="A369" i="121" s="1"/>
  <c r="A464" i="121" s="1"/>
  <c r="A559" i="121" s="1"/>
  <c r="A654" i="121" s="1"/>
  <c r="A749" i="121" s="1"/>
  <c r="M83" i="121"/>
  <c r="G178" i="121"/>
  <c r="G273" i="121" s="1"/>
  <c r="G368" i="121" s="1"/>
  <c r="G463" i="121" s="1"/>
  <c r="G558" i="121" s="1"/>
  <c r="G653" i="121" s="1"/>
  <c r="G748" i="121" s="1"/>
  <c r="F178" i="121"/>
  <c r="H178" i="121" s="1"/>
  <c r="N178" i="121" s="1"/>
  <c r="E178" i="121"/>
  <c r="E273" i="121" s="1"/>
  <c r="E368" i="121" s="1"/>
  <c r="E463" i="121" s="1"/>
  <c r="E558" i="121" s="1"/>
  <c r="E653" i="121" s="1"/>
  <c r="E748" i="121" s="1"/>
  <c r="M82" i="121"/>
  <c r="F177" i="121"/>
  <c r="B177" i="121"/>
  <c r="B272" i="121" s="1"/>
  <c r="B367" i="121" s="1"/>
  <c r="B462" i="121" s="1"/>
  <c r="B557" i="121" s="1"/>
  <c r="B652" i="121" s="1"/>
  <c r="B747" i="121" s="1"/>
  <c r="M81" i="121"/>
  <c r="F176" i="121"/>
  <c r="H81" i="121"/>
  <c r="E176" i="121"/>
  <c r="E271" i="121" s="1"/>
  <c r="E366" i="121" s="1"/>
  <c r="E461" i="121" s="1"/>
  <c r="E556" i="121" s="1"/>
  <c r="E651" i="121" s="1"/>
  <c r="E746" i="121" s="1"/>
  <c r="B176" i="121"/>
  <c r="M80" i="121"/>
  <c r="G175" i="121" s="1"/>
  <c r="G270" i="121" s="1"/>
  <c r="G365" i="121" s="1"/>
  <c r="G460" i="121" s="1"/>
  <c r="G555" i="121" s="1"/>
  <c r="G650" i="121" s="1"/>
  <c r="G745" i="121" s="1"/>
  <c r="F175" i="121"/>
  <c r="E175" i="121"/>
  <c r="B175" i="121"/>
  <c r="B270" i="121" s="1"/>
  <c r="B365" i="121" s="1"/>
  <c r="B460" i="121" s="1"/>
  <c r="B555" i="121" s="1"/>
  <c r="B650" i="121" s="1"/>
  <c r="B745" i="121" s="1"/>
  <c r="M79" i="121"/>
  <c r="E174" i="121"/>
  <c r="E269" i="121" s="1"/>
  <c r="E364" i="121" s="1"/>
  <c r="E459" i="121" s="1"/>
  <c r="E554" i="121" s="1"/>
  <c r="E649" i="121" s="1"/>
  <c r="E744" i="121" s="1"/>
  <c r="N78" i="121"/>
  <c r="M78" i="121"/>
  <c r="F173" i="121"/>
  <c r="H78" i="121"/>
  <c r="E173" i="121"/>
  <c r="E268" i="121" s="1"/>
  <c r="E363" i="121" s="1"/>
  <c r="E458" i="121" s="1"/>
  <c r="E553" i="121" s="1"/>
  <c r="E648" i="121" s="1"/>
  <c r="E743" i="121" s="1"/>
  <c r="M77" i="121"/>
  <c r="E172" i="121"/>
  <c r="E267" i="121" s="1"/>
  <c r="E362" i="121" s="1"/>
  <c r="E457" i="121" s="1"/>
  <c r="E552" i="121" s="1"/>
  <c r="E647" i="121" s="1"/>
  <c r="E742" i="121" s="1"/>
  <c r="D172" i="121"/>
  <c r="D267" i="121" s="1"/>
  <c r="D362" i="121" s="1"/>
  <c r="D457" i="121" s="1"/>
  <c r="D552" i="121" s="1"/>
  <c r="D647" i="121" s="1"/>
  <c r="D742" i="121" s="1"/>
  <c r="C172" i="121"/>
  <c r="C267" i="121" s="1"/>
  <c r="C362" i="121" s="1"/>
  <c r="C457" i="121" s="1"/>
  <c r="C552" i="121" s="1"/>
  <c r="C647" i="121" s="1"/>
  <c r="C742" i="121" s="1"/>
  <c r="B172" i="121"/>
  <c r="B267" i="121" s="1"/>
  <c r="B362" i="121" s="1"/>
  <c r="B457" i="121" s="1"/>
  <c r="B552" i="121" s="1"/>
  <c r="B647" i="121" s="1"/>
  <c r="B742" i="121" s="1"/>
  <c r="M76" i="121"/>
  <c r="G171" i="121"/>
  <c r="G266" i="121" s="1"/>
  <c r="F171" i="121"/>
  <c r="E171" i="121"/>
  <c r="E266" i="121" s="1"/>
  <c r="E361" i="121" s="1"/>
  <c r="E456" i="121" s="1"/>
  <c r="E551" i="121" s="1"/>
  <c r="E646" i="121" s="1"/>
  <c r="E741" i="121" s="1"/>
  <c r="D171" i="121"/>
  <c r="D266" i="121" s="1"/>
  <c r="D361" i="121" s="1"/>
  <c r="D456" i="121" s="1"/>
  <c r="D551" i="121" s="1"/>
  <c r="D646" i="121" s="1"/>
  <c r="D741" i="121" s="1"/>
  <c r="A171" i="121"/>
  <c r="A266" i="121" s="1"/>
  <c r="A361" i="121" s="1"/>
  <c r="A456" i="121" s="1"/>
  <c r="A551" i="121" s="1"/>
  <c r="A646" i="121" s="1"/>
  <c r="A741" i="121" s="1"/>
  <c r="M75" i="121"/>
  <c r="H75" i="121"/>
  <c r="N75" i="121" s="1"/>
  <c r="F170" i="121"/>
  <c r="E170" i="121"/>
  <c r="E265" i="121" s="1"/>
  <c r="E360" i="121" s="1"/>
  <c r="E455" i="121" s="1"/>
  <c r="E550" i="121" s="1"/>
  <c r="E645" i="121" s="1"/>
  <c r="E740" i="121" s="1"/>
  <c r="D170" i="121"/>
  <c r="D265" i="121" s="1"/>
  <c r="D360" i="121" s="1"/>
  <c r="D455" i="121" s="1"/>
  <c r="D550" i="121" s="1"/>
  <c r="D645" i="121" s="1"/>
  <c r="D740" i="121" s="1"/>
  <c r="C170" i="121"/>
  <c r="C265" i="121" s="1"/>
  <c r="C360" i="121" s="1"/>
  <c r="C455" i="121" s="1"/>
  <c r="C550" i="121" s="1"/>
  <c r="C645" i="121" s="1"/>
  <c r="C740" i="121" s="1"/>
  <c r="B170" i="121"/>
  <c r="B265" i="121" s="1"/>
  <c r="B360" i="121" s="1"/>
  <c r="B455" i="121" s="1"/>
  <c r="B550" i="121" s="1"/>
  <c r="B645" i="121" s="1"/>
  <c r="B740" i="121" s="1"/>
  <c r="A170" i="121"/>
  <c r="A265" i="121" s="1"/>
  <c r="A360" i="121" s="1"/>
  <c r="A455" i="121" s="1"/>
  <c r="A550" i="121" s="1"/>
  <c r="A645" i="121" s="1"/>
  <c r="A740" i="121" s="1"/>
  <c r="M74" i="121"/>
  <c r="G169" i="121"/>
  <c r="G264" i="121" s="1"/>
  <c r="G359" i="121" s="1"/>
  <c r="G454" i="121" s="1"/>
  <c r="G549" i="121" s="1"/>
  <c r="G644" i="121" s="1"/>
  <c r="G739" i="121" s="1"/>
  <c r="F169" i="121"/>
  <c r="E169" i="121"/>
  <c r="E264" i="121" s="1"/>
  <c r="E359" i="121" s="1"/>
  <c r="E454" i="121" s="1"/>
  <c r="E549" i="121" s="1"/>
  <c r="E644" i="121" s="1"/>
  <c r="E739" i="121" s="1"/>
  <c r="D169" i="121"/>
  <c r="D264" i="121" s="1"/>
  <c r="D359" i="121" s="1"/>
  <c r="D454" i="121" s="1"/>
  <c r="D549" i="121" s="1"/>
  <c r="D644" i="121" s="1"/>
  <c r="D739" i="121" s="1"/>
  <c r="B169" i="121"/>
  <c r="B264" i="121" s="1"/>
  <c r="B359" i="121" s="1"/>
  <c r="B454" i="121" s="1"/>
  <c r="B549" i="121" s="1"/>
  <c r="B644" i="121" s="1"/>
  <c r="B739" i="121" s="1"/>
  <c r="M73" i="121"/>
  <c r="F168" i="121"/>
  <c r="H73" i="121"/>
  <c r="N73" i="121" s="1"/>
  <c r="E168" i="121"/>
  <c r="E263" i="121" s="1"/>
  <c r="E358" i="121" s="1"/>
  <c r="E453" i="121" s="1"/>
  <c r="E548" i="121" s="1"/>
  <c r="E643" i="121" s="1"/>
  <c r="E738" i="121" s="1"/>
  <c r="D168" i="121"/>
  <c r="C168" i="121"/>
  <c r="C263" i="121" s="1"/>
  <c r="C358" i="121" s="1"/>
  <c r="C453" i="121" s="1"/>
  <c r="C548" i="121" s="1"/>
  <c r="C643" i="121" s="1"/>
  <c r="C738" i="121" s="1"/>
  <c r="B168" i="121"/>
  <c r="B263" i="121" s="1"/>
  <c r="B358" i="121" s="1"/>
  <c r="B453" i="121" s="1"/>
  <c r="B548" i="121" s="1"/>
  <c r="B643" i="121" s="1"/>
  <c r="B738" i="121" s="1"/>
  <c r="A168" i="121"/>
  <c r="A263" i="121" s="1"/>
  <c r="M72" i="121"/>
  <c r="E167" i="121"/>
  <c r="E262" i="121" s="1"/>
  <c r="E357" i="121" s="1"/>
  <c r="E452" i="121" s="1"/>
  <c r="E547" i="121" s="1"/>
  <c r="E642" i="121" s="1"/>
  <c r="E737" i="121" s="1"/>
  <c r="D167" i="121"/>
  <c r="D262" i="121" s="1"/>
  <c r="D357" i="121" s="1"/>
  <c r="D452" i="121" s="1"/>
  <c r="D547" i="121" s="1"/>
  <c r="D642" i="121" s="1"/>
  <c r="D737" i="121" s="1"/>
  <c r="A167" i="121"/>
  <c r="A262" i="121" s="1"/>
  <c r="A357" i="121" s="1"/>
  <c r="A452" i="121" s="1"/>
  <c r="A547" i="121" s="1"/>
  <c r="A642" i="121" s="1"/>
  <c r="A737" i="121" s="1"/>
  <c r="M71" i="121"/>
  <c r="E166" i="121"/>
  <c r="E261" i="121" s="1"/>
  <c r="E356" i="121" s="1"/>
  <c r="E451" i="121" s="1"/>
  <c r="E546" i="121" s="1"/>
  <c r="E641" i="121" s="1"/>
  <c r="E736" i="121" s="1"/>
  <c r="D166" i="121"/>
  <c r="D261" i="121" s="1"/>
  <c r="D356" i="121" s="1"/>
  <c r="D451" i="121" s="1"/>
  <c r="D546" i="121" s="1"/>
  <c r="D641" i="121" s="1"/>
  <c r="D736" i="121" s="1"/>
  <c r="C166" i="121"/>
  <c r="C261" i="121" s="1"/>
  <c r="C356" i="121" s="1"/>
  <c r="C451" i="121" s="1"/>
  <c r="C546" i="121" s="1"/>
  <c r="C641" i="121" s="1"/>
  <c r="C736" i="121" s="1"/>
  <c r="B166" i="121"/>
  <c r="B261" i="121" s="1"/>
  <c r="B356" i="121" s="1"/>
  <c r="B451" i="121" s="1"/>
  <c r="B546" i="121" s="1"/>
  <c r="B641" i="121" s="1"/>
  <c r="B736" i="121" s="1"/>
  <c r="A166" i="121"/>
  <c r="A261" i="121" s="1"/>
  <c r="A356" i="121" s="1"/>
  <c r="A451" i="121" s="1"/>
  <c r="A546" i="121" s="1"/>
  <c r="A641" i="121" s="1"/>
  <c r="A736" i="121" s="1"/>
  <c r="M70" i="121"/>
  <c r="H70" i="121"/>
  <c r="E165" i="121"/>
  <c r="E260" i="121" s="1"/>
  <c r="E355" i="121" s="1"/>
  <c r="E450" i="121" s="1"/>
  <c r="E545" i="121" s="1"/>
  <c r="E640" i="121" s="1"/>
  <c r="E735" i="121" s="1"/>
  <c r="D165" i="121"/>
  <c r="C165" i="121"/>
  <c r="C260" i="121" s="1"/>
  <c r="C355" i="121" s="1"/>
  <c r="C450" i="121" s="1"/>
  <c r="C545" i="121" s="1"/>
  <c r="C640" i="121" s="1"/>
  <c r="C735" i="121" s="1"/>
  <c r="B165" i="121"/>
  <c r="B260" i="121" s="1"/>
  <c r="B355" i="121" s="1"/>
  <c r="B450" i="121" s="1"/>
  <c r="B545" i="121" s="1"/>
  <c r="B640" i="121" s="1"/>
  <c r="B735" i="121" s="1"/>
  <c r="A165" i="121"/>
  <c r="A260" i="121" s="1"/>
  <c r="A355" i="121" s="1"/>
  <c r="A450" i="121" s="1"/>
  <c r="A545" i="121" s="1"/>
  <c r="A640" i="121" s="1"/>
  <c r="A735" i="121" s="1"/>
  <c r="P69" i="121"/>
  <c r="O69" i="121"/>
  <c r="M69" i="121"/>
  <c r="G164" i="121"/>
  <c r="G259" i="121" s="1"/>
  <c r="F164" i="121"/>
  <c r="E164" i="121"/>
  <c r="E259" i="121" s="1"/>
  <c r="E354" i="121" s="1"/>
  <c r="E449" i="121" s="1"/>
  <c r="E544" i="121" s="1"/>
  <c r="E639" i="121" s="1"/>
  <c r="E734" i="121" s="1"/>
  <c r="C164" i="121"/>
  <c r="C259" i="121" s="1"/>
  <c r="C354" i="121" s="1"/>
  <c r="C449" i="121" s="1"/>
  <c r="C544" i="121" s="1"/>
  <c r="C639" i="121" s="1"/>
  <c r="C734" i="121" s="1"/>
  <c r="B164" i="121"/>
  <c r="M68" i="121"/>
  <c r="G163" i="121" s="1"/>
  <c r="G258" i="121" s="1"/>
  <c r="G353" i="121" s="1"/>
  <c r="G448" i="121" s="1"/>
  <c r="G543" i="121" s="1"/>
  <c r="G638" i="121" s="1"/>
  <c r="G733" i="121" s="1"/>
  <c r="D163" i="121"/>
  <c r="D258" i="121" s="1"/>
  <c r="D353" i="121" s="1"/>
  <c r="D448" i="121" s="1"/>
  <c r="D543" i="121" s="1"/>
  <c r="D638" i="121" s="1"/>
  <c r="D733" i="121" s="1"/>
  <c r="C163" i="121"/>
  <c r="C258" i="121" s="1"/>
  <c r="C353" i="121" s="1"/>
  <c r="C448" i="121" s="1"/>
  <c r="C543" i="121" s="1"/>
  <c r="C638" i="121" s="1"/>
  <c r="C733" i="121" s="1"/>
  <c r="A163" i="121"/>
  <c r="A258" i="121" s="1"/>
  <c r="A353" i="121" s="1"/>
  <c r="A448" i="121" s="1"/>
  <c r="A543" i="121" s="1"/>
  <c r="A638" i="121" s="1"/>
  <c r="A733" i="121" s="1"/>
  <c r="M67" i="121"/>
  <c r="E162" i="121"/>
  <c r="E257" i="121" s="1"/>
  <c r="E352" i="121" s="1"/>
  <c r="E447" i="121" s="1"/>
  <c r="E542" i="121" s="1"/>
  <c r="E637" i="121" s="1"/>
  <c r="E732" i="121" s="1"/>
  <c r="D162" i="121"/>
  <c r="D257" i="121" s="1"/>
  <c r="D352" i="121" s="1"/>
  <c r="D447" i="121" s="1"/>
  <c r="D542" i="121" s="1"/>
  <c r="D637" i="121" s="1"/>
  <c r="D732" i="121" s="1"/>
  <c r="C162" i="121"/>
  <c r="C257" i="121" s="1"/>
  <c r="C352" i="121" s="1"/>
  <c r="C447" i="121" s="1"/>
  <c r="C542" i="121" s="1"/>
  <c r="C637" i="121" s="1"/>
  <c r="C732" i="121" s="1"/>
  <c r="M66" i="121"/>
  <c r="F161" i="121"/>
  <c r="E161" i="121"/>
  <c r="E256" i="121" s="1"/>
  <c r="E351" i="121" s="1"/>
  <c r="E446" i="121" s="1"/>
  <c r="E541" i="121" s="1"/>
  <c r="E636" i="121" s="1"/>
  <c r="E731" i="121" s="1"/>
  <c r="D161" i="121"/>
  <c r="D256" i="121" s="1"/>
  <c r="D351" i="121" s="1"/>
  <c r="D446" i="121" s="1"/>
  <c r="D541" i="121" s="1"/>
  <c r="D636" i="121" s="1"/>
  <c r="D731" i="121" s="1"/>
  <c r="C161" i="121"/>
  <c r="C256" i="121" s="1"/>
  <c r="C351" i="121" s="1"/>
  <c r="C446" i="121" s="1"/>
  <c r="C541" i="121" s="1"/>
  <c r="C636" i="121" s="1"/>
  <c r="C731" i="121" s="1"/>
  <c r="B161" i="121"/>
  <c r="B256" i="121" s="1"/>
  <c r="B351" i="121" s="1"/>
  <c r="B446" i="121" s="1"/>
  <c r="B541" i="121" s="1"/>
  <c r="B636" i="121" s="1"/>
  <c r="B731" i="121" s="1"/>
  <c r="O65" i="121"/>
  <c r="P65" i="121" s="1"/>
  <c r="M65" i="121"/>
  <c r="F160" i="121"/>
  <c r="H65" i="121"/>
  <c r="N65" i="121" s="1"/>
  <c r="E160" i="121"/>
  <c r="E255" i="121" s="1"/>
  <c r="E350" i="121" s="1"/>
  <c r="E445" i="121" s="1"/>
  <c r="E540" i="121" s="1"/>
  <c r="E635" i="121" s="1"/>
  <c r="E730" i="121" s="1"/>
  <c r="D160" i="121"/>
  <c r="D255" i="121" s="1"/>
  <c r="D350" i="121" s="1"/>
  <c r="D445" i="121" s="1"/>
  <c r="D540" i="121" s="1"/>
  <c r="D635" i="121" s="1"/>
  <c r="D730" i="121" s="1"/>
  <c r="C160" i="121"/>
  <c r="C255" i="121" s="1"/>
  <c r="C350" i="121" s="1"/>
  <c r="C445" i="121" s="1"/>
  <c r="C540" i="121" s="1"/>
  <c r="C635" i="121" s="1"/>
  <c r="C730" i="121" s="1"/>
  <c r="B160" i="121"/>
  <c r="O64" i="121"/>
  <c r="P64" i="121" s="1"/>
  <c r="M64" i="121"/>
  <c r="G159" i="121"/>
  <c r="E159" i="121"/>
  <c r="E254" i="121" s="1"/>
  <c r="E349" i="121" s="1"/>
  <c r="E444" i="121" s="1"/>
  <c r="E539" i="121" s="1"/>
  <c r="E634" i="121" s="1"/>
  <c r="E729" i="121" s="1"/>
  <c r="D159" i="121"/>
  <c r="D254" i="121" s="1"/>
  <c r="D349" i="121" s="1"/>
  <c r="D444" i="121" s="1"/>
  <c r="D539" i="121" s="1"/>
  <c r="D634" i="121" s="1"/>
  <c r="D729" i="121" s="1"/>
  <c r="C159" i="121"/>
  <c r="C254" i="121" s="1"/>
  <c r="C349" i="121" s="1"/>
  <c r="C444" i="121" s="1"/>
  <c r="C539" i="121" s="1"/>
  <c r="C634" i="121" s="1"/>
  <c r="C729" i="121" s="1"/>
  <c r="A159" i="121"/>
  <c r="A254" i="121" s="1"/>
  <c r="A349" i="121" s="1"/>
  <c r="A444" i="121" s="1"/>
  <c r="A539" i="121" s="1"/>
  <c r="A634" i="121" s="1"/>
  <c r="A729" i="121" s="1"/>
  <c r="M63" i="121"/>
  <c r="E158" i="121"/>
  <c r="C158" i="121"/>
  <c r="C253" i="121" s="1"/>
  <c r="C348" i="121" s="1"/>
  <c r="C443" i="121" s="1"/>
  <c r="C538" i="121" s="1"/>
  <c r="C633" i="121" s="1"/>
  <c r="C728" i="121" s="1"/>
  <c r="B158" i="121"/>
  <c r="B253" i="121" s="1"/>
  <c r="B348" i="121" s="1"/>
  <c r="B443" i="121" s="1"/>
  <c r="B538" i="121" s="1"/>
  <c r="B633" i="121" s="1"/>
  <c r="B728" i="121" s="1"/>
  <c r="A158" i="121"/>
  <c r="A253" i="121" s="1"/>
  <c r="A348" i="121" s="1"/>
  <c r="A443" i="121" s="1"/>
  <c r="A538" i="121" s="1"/>
  <c r="A633" i="121" s="1"/>
  <c r="A728" i="121" s="1"/>
  <c r="O62" i="121"/>
  <c r="M62" i="121"/>
  <c r="H62" i="121"/>
  <c r="N62" i="121" s="1"/>
  <c r="E157" i="121"/>
  <c r="E252" i="121" s="1"/>
  <c r="E347" i="121" s="1"/>
  <c r="E442" i="121" s="1"/>
  <c r="E537" i="121" s="1"/>
  <c r="E632" i="121" s="1"/>
  <c r="E727" i="121" s="1"/>
  <c r="D157" i="121"/>
  <c r="C157" i="121"/>
  <c r="C252" i="121" s="1"/>
  <c r="C347" i="121" s="1"/>
  <c r="C442" i="121" s="1"/>
  <c r="C537" i="121" s="1"/>
  <c r="C632" i="121" s="1"/>
  <c r="C727" i="121" s="1"/>
  <c r="B157" i="121"/>
  <c r="B252" i="121" s="1"/>
  <c r="B347" i="121" s="1"/>
  <c r="B442" i="121" s="1"/>
  <c r="B537" i="121" s="1"/>
  <c r="B632" i="121" s="1"/>
  <c r="B727" i="121" s="1"/>
  <c r="A157" i="121"/>
  <c r="A252" i="121" s="1"/>
  <c r="A347" i="121" s="1"/>
  <c r="A442" i="121" s="1"/>
  <c r="A537" i="121" s="1"/>
  <c r="A632" i="121" s="1"/>
  <c r="A727" i="121" s="1"/>
  <c r="M61" i="121"/>
  <c r="H61" i="121"/>
  <c r="E156" i="121"/>
  <c r="E251" i="121" s="1"/>
  <c r="E346" i="121" s="1"/>
  <c r="E441" i="121" s="1"/>
  <c r="E536" i="121" s="1"/>
  <c r="E631" i="121" s="1"/>
  <c r="E726" i="121" s="1"/>
  <c r="B156" i="121"/>
  <c r="B251" i="121" s="1"/>
  <c r="B346" i="121" s="1"/>
  <c r="B441" i="121" s="1"/>
  <c r="B536" i="121" s="1"/>
  <c r="B631" i="121" s="1"/>
  <c r="B726" i="121" s="1"/>
  <c r="A156" i="121"/>
  <c r="A251" i="121" s="1"/>
  <c r="A346" i="121" s="1"/>
  <c r="A441" i="121" s="1"/>
  <c r="A536" i="121" s="1"/>
  <c r="A631" i="121" s="1"/>
  <c r="A726" i="121" s="1"/>
  <c r="P60" i="121"/>
  <c r="O60" i="121"/>
  <c r="M60" i="121"/>
  <c r="G155" i="121"/>
  <c r="G250" i="121" s="1"/>
  <c r="G345" i="121" s="1"/>
  <c r="H60" i="121"/>
  <c r="N60" i="121" s="1"/>
  <c r="M59" i="121"/>
  <c r="H59" i="121"/>
  <c r="E154" i="121"/>
  <c r="D154" i="121"/>
  <c r="D249" i="121" s="1"/>
  <c r="D344" i="121" s="1"/>
  <c r="D439" i="121" s="1"/>
  <c r="D534" i="121" s="1"/>
  <c r="D629" i="121" s="1"/>
  <c r="D724" i="121" s="1"/>
  <c r="C154" i="121"/>
  <c r="C249" i="121" s="1"/>
  <c r="C344" i="121" s="1"/>
  <c r="C439" i="121" s="1"/>
  <c r="C534" i="121" s="1"/>
  <c r="C629" i="121" s="1"/>
  <c r="C724" i="121" s="1"/>
  <c r="B154" i="121"/>
  <c r="B249" i="121" s="1"/>
  <c r="B344" i="121" s="1"/>
  <c r="B439" i="121" s="1"/>
  <c r="B534" i="121" s="1"/>
  <c r="B629" i="121" s="1"/>
  <c r="B724" i="121" s="1"/>
  <c r="A154" i="121"/>
  <c r="A249" i="121" s="1"/>
  <c r="A344" i="121" s="1"/>
  <c r="A439" i="121" s="1"/>
  <c r="A534" i="121" s="1"/>
  <c r="A629" i="121" s="1"/>
  <c r="A724" i="121" s="1"/>
  <c r="P58" i="121"/>
  <c r="M58" i="121"/>
  <c r="O58" i="121" s="1"/>
  <c r="G153" i="121"/>
  <c r="G248" i="121" s="1"/>
  <c r="G343" i="121" s="1"/>
  <c r="G438" i="121" s="1"/>
  <c r="G533" i="121" s="1"/>
  <c r="G628" i="121" s="1"/>
  <c r="G723" i="121" s="1"/>
  <c r="F153" i="121"/>
  <c r="E153" i="121"/>
  <c r="E248" i="121" s="1"/>
  <c r="E343" i="121" s="1"/>
  <c r="E438" i="121" s="1"/>
  <c r="E533" i="121" s="1"/>
  <c r="E628" i="121" s="1"/>
  <c r="E723" i="121" s="1"/>
  <c r="C153" i="121"/>
  <c r="C248" i="121" s="1"/>
  <c r="C343" i="121" s="1"/>
  <c r="C438" i="121" s="1"/>
  <c r="C533" i="121" s="1"/>
  <c r="C628" i="121" s="1"/>
  <c r="C723" i="121" s="1"/>
  <c r="B153" i="121"/>
  <c r="B248" i="121" s="1"/>
  <c r="B343" i="121" s="1"/>
  <c r="B438" i="121" s="1"/>
  <c r="B533" i="121" s="1"/>
  <c r="B628" i="121" s="1"/>
  <c r="B723" i="121" s="1"/>
  <c r="A153" i="121"/>
  <c r="A248" i="121" s="1"/>
  <c r="A343" i="121" s="1"/>
  <c r="A438" i="121" s="1"/>
  <c r="A533" i="121" s="1"/>
  <c r="A628" i="121" s="1"/>
  <c r="A723" i="121" s="1"/>
  <c r="O57" i="121"/>
  <c r="P57" i="121" s="1"/>
  <c r="M57" i="121"/>
  <c r="G152" i="121" s="1"/>
  <c r="G247" i="121" s="1"/>
  <c r="G342" i="121" s="1"/>
  <c r="G437" i="121" s="1"/>
  <c r="G532" i="121" s="1"/>
  <c r="G627" i="121" s="1"/>
  <c r="G722" i="121" s="1"/>
  <c r="F152" i="121"/>
  <c r="E152" i="121"/>
  <c r="E247" i="121" s="1"/>
  <c r="E342" i="121" s="1"/>
  <c r="E437" i="121" s="1"/>
  <c r="E532" i="121" s="1"/>
  <c r="E627" i="121" s="1"/>
  <c r="E722" i="121" s="1"/>
  <c r="D152" i="121"/>
  <c r="D247" i="121" s="1"/>
  <c r="D342" i="121" s="1"/>
  <c r="D437" i="121" s="1"/>
  <c r="D532" i="121" s="1"/>
  <c r="D627" i="121" s="1"/>
  <c r="D722" i="121" s="1"/>
  <c r="B152" i="121"/>
  <c r="B247" i="121" s="1"/>
  <c r="B342" i="121" s="1"/>
  <c r="B437" i="121" s="1"/>
  <c r="B532" i="121" s="1"/>
  <c r="B627" i="121" s="1"/>
  <c r="B722" i="121" s="1"/>
  <c r="A152" i="121"/>
  <c r="A247" i="121" s="1"/>
  <c r="A342" i="121" s="1"/>
  <c r="A437" i="121" s="1"/>
  <c r="A532" i="121" s="1"/>
  <c r="A627" i="121" s="1"/>
  <c r="A722" i="121" s="1"/>
  <c r="M56" i="121"/>
  <c r="H56" i="121"/>
  <c r="F151" i="121"/>
  <c r="E151" i="121"/>
  <c r="E246" i="121" s="1"/>
  <c r="E341" i="121" s="1"/>
  <c r="E436" i="121" s="1"/>
  <c r="E531" i="121" s="1"/>
  <c r="E626" i="121" s="1"/>
  <c r="E721" i="121" s="1"/>
  <c r="D151" i="121"/>
  <c r="D246" i="121" s="1"/>
  <c r="D341" i="121" s="1"/>
  <c r="D436" i="121" s="1"/>
  <c r="D531" i="121" s="1"/>
  <c r="D626" i="121" s="1"/>
  <c r="D721" i="121" s="1"/>
  <c r="C151" i="121"/>
  <c r="C246" i="121" s="1"/>
  <c r="C341" i="121" s="1"/>
  <c r="C436" i="121" s="1"/>
  <c r="C531" i="121" s="1"/>
  <c r="C626" i="121" s="1"/>
  <c r="C721" i="121" s="1"/>
  <c r="B151" i="121"/>
  <c r="B246" i="121" s="1"/>
  <c r="B341" i="121" s="1"/>
  <c r="B436" i="121" s="1"/>
  <c r="B531" i="121" s="1"/>
  <c r="B626" i="121" s="1"/>
  <c r="B721" i="121" s="1"/>
  <c r="M55" i="121"/>
  <c r="F150" i="121"/>
  <c r="E150" i="121"/>
  <c r="E245" i="121" s="1"/>
  <c r="E340" i="121" s="1"/>
  <c r="E435" i="121" s="1"/>
  <c r="E530" i="121" s="1"/>
  <c r="E625" i="121" s="1"/>
  <c r="E720" i="121" s="1"/>
  <c r="D150" i="121"/>
  <c r="D245" i="121" s="1"/>
  <c r="D340" i="121" s="1"/>
  <c r="D435" i="121" s="1"/>
  <c r="D530" i="121" s="1"/>
  <c r="D625" i="121" s="1"/>
  <c r="D720" i="121" s="1"/>
  <c r="A150" i="121"/>
  <c r="A245" i="121" s="1"/>
  <c r="A340" i="121" s="1"/>
  <c r="A435" i="121" s="1"/>
  <c r="A530" i="121" s="1"/>
  <c r="A625" i="121" s="1"/>
  <c r="A720" i="121" s="1"/>
  <c r="M54" i="121"/>
  <c r="O54" i="121" s="1"/>
  <c r="H54" i="121"/>
  <c r="N54" i="121" s="1"/>
  <c r="D149" i="121"/>
  <c r="D244" i="121" s="1"/>
  <c r="D339" i="121" s="1"/>
  <c r="D434" i="121" s="1"/>
  <c r="D529" i="121" s="1"/>
  <c r="D624" i="121" s="1"/>
  <c r="D719" i="121" s="1"/>
  <c r="C149" i="121"/>
  <c r="B149" i="121"/>
  <c r="B244" i="121" s="1"/>
  <c r="B339" i="121" s="1"/>
  <c r="B434" i="121" s="1"/>
  <c r="B529" i="121" s="1"/>
  <c r="B624" i="121" s="1"/>
  <c r="B719" i="121" s="1"/>
  <c r="A149" i="121"/>
  <c r="M53" i="121"/>
  <c r="G148" i="121"/>
  <c r="G243" i="121" s="1"/>
  <c r="G338" i="121" s="1"/>
  <c r="G433" i="121" s="1"/>
  <c r="G528" i="121" s="1"/>
  <c r="G623" i="121" s="1"/>
  <c r="G718" i="121" s="1"/>
  <c r="F148" i="121"/>
  <c r="F243" i="121" s="1"/>
  <c r="E148" i="121"/>
  <c r="D148" i="121"/>
  <c r="D243" i="121" s="1"/>
  <c r="D338" i="121" s="1"/>
  <c r="D433" i="121" s="1"/>
  <c r="D528" i="121" s="1"/>
  <c r="D623" i="121" s="1"/>
  <c r="D718" i="121" s="1"/>
  <c r="A148" i="121"/>
  <c r="A243" i="121" s="1"/>
  <c r="A338" i="121" s="1"/>
  <c r="A433" i="121" s="1"/>
  <c r="A528" i="121" s="1"/>
  <c r="A623" i="121" s="1"/>
  <c r="A718" i="121" s="1"/>
  <c r="M52" i="121"/>
  <c r="F147" i="121"/>
  <c r="E147" i="121"/>
  <c r="E242" i="121" s="1"/>
  <c r="E337" i="121" s="1"/>
  <c r="E432" i="121" s="1"/>
  <c r="E527" i="121" s="1"/>
  <c r="E622" i="121" s="1"/>
  <c r="E717" i="121" s="1"/>
  <c r="M51" i="121"/>
  <c r="F146" i="121"/>
  <c r="H51" i="121"/>
  <c r="D146" i="121"/>
  <c r="C146" i="121"/>
  <c r="C241" i="121" s="1"/>
  <c r="C336" i="121" s="1"/>
  <c r="C431" i="121" s="1"/>
  <c r="C526" i="121" s="1"/>
  <c r="C621" i="121" s="1"/>
  <c r="C716" i="121" s="1"/>
  <c r="B146" i="121"/>
  <c r="B241" i="121" s="1"/>
  <c r="B336" i="121" s="1"/>
  <c r="B431" i="121" s="1"/>
  <c r="B526" i="121" s="1"/>
  <c r="B621" i="121" s="1"/>
  <c r="B716" i="121" s="1"/>
  <c r="A146" i="121"/>
  <c r="A241" i="121" s="1"/>
  <c r="A336" i="121" s="1"/>
  <c r="A431" i="121" s="1"/>
  <c r="A526" i="121" s="1"/>
  <c r="A621" i="121" s="1"/>
  <c r="A716" i="121" s="1"/>
  <c r="P50" i="121"/>
  <c r="O50" i="121"/>
  <c r="M50" i="121"/>
  <c r="G145" i="121"/>
  <c r="F145" i="121"/>
  <c r="H145" i="121" s="1"/>
  <c r="N145" i="121" s="1"/>
  <c r="E145" i="121"/>
  <c r="E240" i="121" s="1"/>
  <c r="E335" i="121" s="1"/>
  <c r="E430" i="121" s="1"/>
  <c r="E525" i="121" s="1"/>
  <c r="E620" i="121" s="1"/>
  <c r="E715" i="121" s="1"/>
  <c r="C145" i="121"/>
  <c r="C240" i="121" s="1"/>
  <c r="C335" i="121" s="1"/>
  <c r="C430" i="121" s="1"/>
  <c r="C525" i="121" s="1"/>
  <c r="C620" i="121" s="1"/>
  <c r="C715" i="121" s="1"/>
  <c r="B145" i="121"/>
  <c r="B240" i="121" s="1"/>
  <c r="B335" i="121" s="1"/>
  <c r="B430" i="121" s="1"/>
  <c r="B525" i="121" s="1"/>
  <c r="B620" i="121" s="1"/>
  <c r="B715" i="121" s="1"/>
  <c r="A145" i="121"/>
  <c r="A240" i="121" s="1"/>
  <c r="A335" i="121" s="1"/>
  <c r="A430" i="121" s="1"/>
  <c r="A525" i="121" s="1"/>
  <c r="A620" i="121" s="1"/>
  <c r="A715" i="121" s="1"/>
  <c r="M49" i="121"/>
  <c r="O49" i="121" s="1"/>
  <c r="E144" i="121"/>
  <c r="E239" i="121" s="1"/>
  <c r="E334" i="121" s="1"/>
  <c r="E429" i="121" s="1"/>
  <c r="E524" i="121" s="1"/>
  <c r="E619" i="121" s="1"/>
  <c r="E714" i="121" s="1"/>
  <c r="D144" i="121"/>
  <c r="D239" i="121" s="1"/>
  <c r="D334" i="121" s="1"/>
  <c r="D429" i="121" s="1"/>
  <c r="D524" i="121" s="1"/>
  <c r="D619" i="121" s="1"/>
  <c r="D714" i="121" s="1"/>
  <c r="C144" i="121"/>
  <c r="C239" i="121" s="1"/>
  <c r="C334" i="121" s="1"/>
  <c r="C429" i="121" s="1"/>
  <c r="C524" i="121" s="1"/>
  <c r="C619" i="121" s="1"/>
  <c r="C714" i="121" s="1"/>
  <c r="A144" i="121"/>
  <c r="A239" i="121" s="1"/>
  <c r="A334" i="121" s="1"/>
  <c r="A429" i="121" s="1"/>
  <c r="A524" i="121" s="1"/>
  <c r="A619" i="121" s="1"/>
  <c r="A714" i="121" s="1"/>
  <c r="M48" i="121"/>
  <c r="E143" i="121"/>
  <c r="E238" i="121" s="1"/>
  <c r="E333" i="121" s="1"/>
  <c r="E428" i="121" s="1"/>
  <c r="E523" i="121" s="1"/>
  <c r="E618" i="121" s="1"/>
  <c r="E713" i="121" s="1"/>
  <c r="D143" i="121"/>
  <c r="D238" i="121" s="1"/>
  <c r="D333" i="121" s="1"/>
  <c r="D428" i="121" s="1"/>
  <c r="D523" i="121" s="1"/>
  <c r="D618" i="121" s="1"/>
  <c r="D713" i="121" s="1"/>
  <c r="C143" i="121"/>
  <c r="C238" i="121" s="1"/>
  <c r="C333" i="121" s="1"/>
  <c r="C428" i="121" s="1"/>
  <c r="C523" i="121" s="1"/>
  <c r="C618" i="121" s="1"/>
  <c r="C713" i="121" s="1"/>
  <c r="B143" i="121"/>
  <c r="B238" i="121" s="1"/>
  <c r="B333" i="121" s="1"/>
  <c r="B428" i="121" s="1"/>
  <c r="B523" i="121" s="1"/>
  <c r="B618" i="121" s="1"/>
  <c r="B713" i="121" s="1"/>
  <c r="M47" i="121"/>
  <c r="O47" i="121" s="1"/>
  <c r="N47" i="121"/>
  <c r="H47" i="121"/>
  <c r="E142" i="121"/>
  <c r="E237" i="121" s="1"/>
  <c r="E332" i="121" s="1"/>
  <c r="C142" i="121"/>
  <c r="C237" i="121" s="1"/>
  <c r="C332" i="121" s="1"/>
  <c r="C427" i="121" s="1"/>
  <c r="C522" i="121" s="1"/>
  <c r="C617" i="121" s="1"/>
  <c r="C712" i="121" s="1"/>
  <c r="B142" i="121"/>
  <c r="B237" i="121" s="1"/>
  <c r="B332" i="121" s="1"/>
  <c r="B427" i="121" s="1"/>
  <c r="B522" i="121" s="1"/>
  <c r="B617" i="121" s="1"/>
  <c r="B712" i="121" s="1"/>
  <c r="A142" i="121"/>
  <c r="A237" i="121" s="1"/>
  <c r="A332" i="121" s="1"/>
  <c r="A427" i="121" s="1"/>
  <c r="A522" i="121" s="1"/>
  <c r="A617" i="121" s="1"/>
  <c r="A712" i="121" s="1"/>
  <c r="P46" i="121"/>
  <c r="O46" i="121"/>
  <c r="M46" i="121"/>
  <c r="G141" i="121"/>
  <c r="G236" i="121" s="1"/>
  <c r="G331" i="121" s="1"/>
  <c r="G426" i="121" s="1"/>
  <c r="G521" i="121" s="1"/>
  <c r="G616" i="121" s="1"/>
  <c r="G711" i="121" s="1"/>
  <c r="H46" i="121"/>
  <c r="N46" i="121" s="1"/>
  <c r="B141" i="121"/>
  <c r="B236" i="121" s="1"/>
  <c r="B331" i="121" s="1"/>
  <c r="B426" i="121" s="1"/>
  <c r="B521" i="121" s="1"/>
  <c r="B616" i="121" s="1"/>
  <c r="B711" i="121" s="1"/>
  <c r="A141" i="121"/>
  <c r="O45" i="121"/>
  <c r="P45" i="121" s="1"/>
  <c r="M45" i="121"/>
  <c r="F140" i="121"/>
  <c r="F235" i="121" s="1"/>
  <c r="E140" i="121"/>
  <c r="D140" i="121"/>
  <c r="D235" i="121" s="1"/>
  <c r="D330" i="121" s="1"/>
  <c r="D425" i="121" s="1"/>
  <c r="D520" i="121" s="1"/>
  <c r="D615" i="121" s="1"/>
  <c r="D710" i="121" s="1"/>
  <c r="C140" i="121"/>
  <c r="C235" i="121" s="1"/>
  <c r="B140" i="121"/>
  <c r="B235" i="121" s="1"/>
  <c r="M44" i="121"/>
  <c r="H44" i="121"/>
  <c r="E139" i="121"/>
  <c r="E234" i="121" s="1"/>
  <c r="E329" i="121" s="1"/>
  <c r="E424" i="121" s="1"/>
  <c r="E519" i="121" s="1"/>
  <c r="E614" i="121" s="1"/>
  <c r="E709" i="121" s="1"/>
  <c r="D139" i="121"/>
  <c r="D234" i="121" s="1"/>
  <c r="D329" i="121" s="1"/>
  <c r="D424" i="121" s="1"/>
  <c r="D519" i="121" s="1"/>
  <c r="D614" i="121" s="1"/>
  <c r="D709" i="121" s="1"/>
  <c r="C139" i="121"/>
  <c r="C234" i="121" s="1"/>
  <c r="C329" i="121" s="1"/>
  <c r="C424" i="121" s="1"/>
  <c r="C519" i="121" s="1"/>
  <c r="C614" i="121" s="1"/>
  <c r="C709" i="121" s="1"/>
  <c r="B139" i="121"/>
  <c r="B234" i="121" s="1"/>
  <c r="B329" i="121" s="1"/>
  <c r="B424" i="121" s="1"/>
  <c r="B519" i="121" s="1"/>
  <c r="B614" i="121" s="1"/>
  <c r="B709" i="121" s="1"/>
  <c r="A139" i="121"/>
  <c r="A234" i="121" s="1"/>
  <c r="A329" i="121" s="1"/>
  <c r="A424" i="121" s="1"/>
  <c r="A519" i="121" s="1"/>
  <c r="A614" i="121" s="1"/>
  <c r="A709" i="121" s="1"/>
  <c r="P43" i="121"/>
  <c r="M43" i="121"/>
  <c r="O43" i="121" s="1"/>
  <c r="G138" i="121"/>
  <c r="G233" i="121" s="1"/>
  <c r="G328" i="121" s="1"/>
  <c r="G423" i="121" s="1"/>
  <c r="G518" i="121" s="1"/>
  <c r="G613" i="121" s="1"/>
  <c r="G708" i="121" s="1"/>
  <c r="H43" i="121"/>
  <c r="N43" i="121" s="1"/>
  <c r="D138" i="121"/>
  <c r="C138" i="121"/>
  <c r="B138" i="121"/>
  <c r="A138" i="121"/>
  <c r="M42" i="121"/>
  <c r="O42" i="121" s="1"/>
  <c r="F137" i="121"/>
  <c r="E137" i="121"/>
  <c r="D137" i="121"/>
  <c r="D232" i="121" s="1"/>
  <c r="D327" i="121" s="1"/>
  <c r="D422" i="121" s="1"/>
  <c r="D517" i="121" s="1"/>
  <c r="D612" i="121" s="1"/>
  <c r="D707" i="121" s="1"/>
  <c r="B137" i="121"/>
  <c r="B232" i="121" s="1"/>
  <c r="B327" i="121" s="1"/>
  <c r="B422" i="121" s="1"/>
  <c r="B517" i="121" s="1"/>
  <c r="B612" i="121" s="1"/>
  <c r="B707" i="121" s="1"/>
  <c r="O41" i="121"/>
  <c r="M41" i="121"/>
  <c r="G136" i="121"/>
  <c r="G231" i="121" s="1"/>
  <c r="G326" i="121" s="1"/>
  <c r="G421" i="121" s="1"/>
  <c r="G516" i="121" s="1"/>
  <c r="G611" i="121" s="1"/>
  <c r="G706" i="121" s="1"/>
  <c r="E136" i="121"/>
  <c r="E231" i="121" s="1"/>
  <c r="E326" i="121" s="1"/>
  <c r="E421" i="121" s="1"/>
  <c r="E516" i="121" s="1"/>
  <c r="E611" i="121" s="1"/>
  <c r="E706" i="121" s="1"/>
  <c r="B136" i="121"/>
  <c r="B231" i="121" s="1"/>
  <c r="B326" i="121" s="1"/>
  <c r="B421" i="121" s="1"/>
  <c r="B516" i="121" s="1"/>
  <c r="B611" i="121" s="1"/>
  <c r="B706" i="121" s="1"/>
  <c r="A136" i="121"/>
  <c r="A231" i="121" s="1"/>
  <c r="A326" i="121" s="1"/>
  <c r="A421" i="121" s="1"/>
  <c r="A516" i="121" s="1"/>
  <c r="A611" i="121" s="1"/>
  <c r="A706" i="121" s="1"/>
  <c r="M40" i="121"/>
  <c r="F135" i="121"/>
  <c r="H40" i="121"/>
  <c r="D135" i="121"/>
  <c r="C135" i="121"/>
  <c r="C230" i="121" s="1"/>
  <c r="C325" i="121" s="1"/>
  <c r="C420" i="121" s="1"/>
  <c r="C515" i="121" s="1"/>
  <c r="C610" i="121" s="1"/>
  <c r="C705" i="121" s="1"/>
  <c r="B135" i="121"/>
  <c r="B230" i="121" s="1"/>
  <c r="B325" i="121" s="1"/>
  <c r="B420" i="121" s="1"/>
  <c r="B515" i="121" s="1"/>
  <c r="B610" i="121" s="1"/>
  <c r="B705" i="121" s="1"/>
  <c r="A135" i="121"/>
  <c r="A230" i="121" s="1"/>
  <c r="A325" i="121" s="1"/>
  <c r="A420" i="121" s="1"/>
  <c r="A515" i="121" s="1"/>
  <c r="A610" i="121" s="1"/>
  <c r="A705" i="121" s="1"/>
  <c r="M39" i="121"/>
  <c r="O39" i="121" s="1"/>
  <c r="P39" i="121" s="1"/>
  <c r="G134" i="121"/>
  <c r="G229" i="121" s="1"/>
  <c r="G324" i="121" s="1"/>
  <c r="G419" i="121" s="1"/>
  <c r="G514" i="121" s="1"/>
  <c r="G609" i="121" s="1"/>
  <c r="G704" i="121" s="1"/>
  <c r="F134" i="121"/>
  <c r="F229" i="121" s="1"/>
  <c r="E134" i="121"/>
  <c r="E229" i="121" s="1"/>
  <c r="E324" i="121" s="1"/>
  <c r="E419" i="121" s="1"/>
  <c r="E514" i="121" s="1"/>
  <c r="E609" i="121" s="1"/>
  <c r="E704" i="121" s="1"/>
  <c r="B134" i="121"/>
  <c r="B229" i="121" s="1"/>
  <c r="B324" i="121" s="1"/>
  <c r="B419" i="121" s="1"/>
  <c r="B514" i="121" s="1"/>
  <c r="B609" i="121" s="1"/>
  <c r="B704" i="121" s="1"/>
  <c r="A134" i="121"/>
  <c r="A229" i="121" s="1"/>
  <c r="A324" i="121" s="1"/>
  <c r="A419" i="121" s="1"/>
  <c r="A514" i="121" s="1"/>
  <c r="A609" i="121" s="1"/>
  <c r="A704" i="121" s="1"/>
  <c r="O38" i="121"/>
  <c r="P38" i="121" s="1"/>
  <c r="N38" i="121"/>
  <c r="M38" i="121"/>
  <c r="H38" i="121"/>
  <c r="C133" i="121"/>
  <c r="C228" i="121" s="1"/>
  <c r="C323" i="121" s="1"/>
  <c r="C418" i="121" s="1"/>
  <c r="C513" i="121" s="1"/>
  <c r="C608" i="121" s="1"/>
  <c r="C703" i="121" s="1"/>
  <c r="M37" i="121"/>
  <c r="H37" i="121"/>
  <c r="N37" i="121" s="1"/>
  <c r="E132" i="121"/>
  <c r="D132" i="121"/>
  <c r="D227" i="121" s="1"/>
  <c r="D322" i="121" s="1"/>
  <c r="D417" i="121" s="1"/>
  <c r="D512" i="121" s="1"/>
  <c r="D607" i="121" s="1"/>
  <c r="D702" i="121" s="1"/>
  <c r="B132" i="121"/>
  <c r="B227" i="121" s="1"/>
  <c r="B322" i="121" s="1"/>
  <c r="B417" i="121" s="1"/>
  <c r="B512" i="121" s="1"/>
  <c r="B607" i="121" s="1"/>
  <c r="B702" i="121" s="1"/>
  <c r="A132" i="121"/>
  <c r="A227" i="121" s="1"/>
  <c r="A322" i="121" s="1"/>
  <c r="A417" i="121" s="1"/>
  <c r="A512" i="121" s="1"/>
  <c r="A607" i="121" s="1"/>
  <c r="A702" i="121" s="1"/>
  <c r="P36" i="121"/>
  <c r="M36" i="121"/>
  <c r="O36" i="121" s="1"/>
  <c r="F131" i="121"/>
  <c r="F226" i="121" s="1"/>
  <c r="F321" i="121" s="1"/>
  <c r="E131" i="121"/>
  <c r="E226" i="121" s="1"/>
  <c r="E321" i="121" s="1"/>
  <c r="E416" i="121" s="1"/>
  <c r="E511" i="121" s="1"/>
  <c r="E606" i="121" s="1"/>
  <c r="E701" i="121" s="1"/>
  <c r="D131" i="121"/>
  <c r="D226" i="121" s="1"/>
  <c r="D321" i="121" s="1"/>
  <c r="D416" i="121" s="1"/>
  <c r="D511" i="121" s="1"/>
  <c r="D606" i="121" s="1"/>
  <c r="D701" i="121" s="1"/>
  <c r="C131" i="121"/>
  <c r="C226" i="121" s="1"/>
  <c r="C321" i="121" s="1"/>
  <c r="C416" i="121" s="1"/>
  <c r="C511" i="121" s="1"/>
  <c r="C606" i="121" s="1"/>
  <c r="C701" i="121" s="1"/>
  <c r="B131" i="121"/>
  <c r="B226" i="121" s="1"/>
  <c r="B321" i="121" s="1"/>
  <c r="B416" i="121" s="1"/>
  <c r="B511" i="121" s="1"/>
  <c r="B606" i="121" s="1"/>
  <c r="B701" i="121" s="1"/>
  <c r="M35" i="121"/>
  <c r="G130" i="121" s="1"/>
  <c r="G225" i="121" s="1"/>
  <c r="G320" i="121" s="1"/>
  <c r="G415" i="121" s="1"/>
  <c r="G510" i="121" s="1"/>
  <c r="G605" i="121" s="1"/>
  <c r="G700" i="121" s="1"/>
  <c r="H35" i="121"/>
  <c r="N35" i="121" s="1"/>
  <c r="B130" i="121"/>
  <c r="B225" i="121" s="1"/>
  <c r="B320" i="121" s="1"/>
  <c r="B415" i="121" s="1"/>
  <c r="B510" i="121" s="1"/>
  <c r="B605" i="121" s="1"/>
  <c r="B700" i="121" s="1"/>
  <c r="A130" i="121"/>
  <c r="A225" i="121" s="1"/>
  <c r="A320" i="121" s="1"/>
  <c r="A415" i="121" s="1"/>
  <c r="A510" i="121" s="1"/>
  <c r="A605" i="121" s="1"/>
  <c r="A700" i="121" s="1"/>
  <c r="P34" i="121"/>
  <c r="O34" i="121"/>
  <c r="M34" i="121"/>
  <c r="F129" i="121"/>
  <c r="F224" i="121" s="1"/>
  <c r="D129" i="121"/>
  <c r="C129" i="121"/>
  <c r="C224" i="121" s="1"/>
  <c r="C319" i="121" s="1"/>
  <c r="C414" i="121" s="1"/>
  <c r="C509" i="121" s="1"/>
  <c r="C604" i="121" s="1"/>
  <c r="C699" i="121" s="1"/>
  <c r="B129" i="121"/>
  <c r="B224" i="121" s="1"/>
  <c r="B319" i="121" s="1"/>
  <c r="B414" i="121" s="1"/>
  <c r="B509" i="121" s="1"/>
  <c r="B604" i="121" s="1"/>
  <c r="B699" i="121" s="1"/>
  <c r="M33" i="121"/>
  <c r="F128" i="121"/>
  <c r="E128" i="121"/>
  <c r="E223" i="121" s="1"/>
  <c r="E318" i="121" s="1"/>
  <c r="E413" i="121" s="1"/>
  <c r="E508" i="121" s="1"/>
  <c r="E603" i="121" s="1"/>
  <c r="E698" i="121" s="1"/>
  <c r="D128" i="121"/>
  <c r="D223" i="121" s="1"/>
  <c r="D318" i="121" s="1"/>
  <c r="D413" i="121" s="1"/>
  <c r="D508" i="121" s="1"/>
  <c r="D603" i="121" s="1"/>
  <c r="D698" i="121" s="1"/>
  <c r="C128" i="121"/>
  <c r="C223" i="121" s="1"/>
  <c r="C318" i="121" s="1"/>
  <c r="C413" i="121" s="1"/>
  <c r="C508" i="121" s="1"/>
  <c r="C603" i="121" s="1"/>
  <c r="C698" i="121" s="1"/>
  <c r="M32" i="121"/>
  <c r="O32" i="121" s="1"/>
  <c r="F127" i="121"/>
  <c r="G127" i="121"/>
  <c r="G222" i="121" s="1"/>
  <c r="G317" i="121" s="1"/>
  <c r="G412" i="121" s="1"/>
  <c r="G507" i="121" s="1"/>
  <c r="G602" i="121" s="1"/>
  <c r="G697" i="121" s="1"/>
  <c r="C127" i="121"/>
  <c r="C222" i="121" s="1"/>
  <c r="C317" i="121" s="1"/>
  <c r="C412" i="121" s="1"/>
  <c r="C507" i="121" s="1"/>
  <c r="C602" i="121" s="1"/>
  <c r="C697" i="121" s="1"/>
  <c r="B127" i="121"/>
  <c r="B222" i="121" s="1"/>
  <c r="B317" i="121" s="1"/>
  <c r="B412" i="121" s="1"/>
  <c r="B507" i="121" s="1"/>
  <c r="B602" i="121" s="1"/>
  <c r="B697" i="121" s="1"/>
  <c r="A127" i="121"/>
  <c r="A222" i="121" s="1"/>
  <c r="A317" i="121" s="1"/>
  <c r="A412" i="121" s="1"/>
  <c r="A507" i="121" s="1"/>
  <c r="A602" i="121" s="1"/>
  <c r="A697" i="121" s="1"/>
  <c r="O31" i="121"/>
  <c r="P31" i="121" s="1"/>
  <c r="M31" i="121"/>
  <c r="G126" i="121"/>
  <c r="F126" i="121"/>
  <c r="E126" i="121"/>
  <c r="E221" i="121" s="1"/>
  <c r="E316" i="121" s="1"/>
  <c r="E411" i="121" s="1"/>
  <c r="E506" i="121" s="1"/>
  <c r="E601" i="121" s="1"/>
  <c r="E696" i="121" s="1"/>
  <c r="D126" i="121"/>
  <c r="D221" i="121" s="1"/>
  <c r="D316" i="121" s="1"/>
  <c r="D411" i="121" s="1"/>
  <c r="D506" i="121" s="1"/>
  <c r="D601" i="121" s="1"/>
  <c r="D696" i="121" s="1"/>
  <c r="A126" i="121"/>
  <c r="M30" i="121"/>
  <c r="H30" i="121"/>
  <c r="F125" i="121"/>
  <c r="E125" i="121"/>
  <c r="E220" i="121" s="1"/>
  <c r="E315" i="121" s="1"/>
  <c r="E410" i="121" s="1"/>
  <c r="E505" i="121" s="1"/>
  <c r="E600" i="121" s="1"/>
  <c r="E695" i="121" s="1"/>
  <c r="D125" i="121"/>
  <c r="D220" i="121" s="1"/>
  <c r="D315" i="121" s="1"/>
  <c r="D410" i="121" s="1"/>
  <c r="D505" i="121" s="1"/>
  <c r="D600" i="121" s="1"/>
  <c r="D695" i="121" s="1"/>
  <c r="C125" i="121"/>
  <c r="C220" i="121" s="1"/>
  <c r="C315" i="121" s="1"/>
  <c r="C410" i="121" s="1"/>
  <c r="C505" i="121" s="1"/>
  <c r="C600" i="121" s="1"/>
  <c r="C695" i="121" s="1"/>
  <c r="B125" i="121"/>
  <c r="B220" i="121" s="1"/>
  <c r="B315" i="121" s="1"/>
  <c r="B410" i="121" s="1"/>
  <c r="B505" i="121" s="1"/>
  <c r="B600" i="121" s="1"/>
  <c r="B695" i="121" s="1"/>
  <c r="M29" i="121"/>
  <c r="H29" i="121"/>
  <c r="E124" i="121"/>
  <c r="D124" i="121"/>
  <c r="D219" i="121" s="1"/>
  <c r="D314" i="121" s="1"/>
  <c r="D409" i="121" s="1"/>
  <c r="D504" i="121" s="1"/>
  <c r="D599" i="121" s="1"/>
  <c r="D694" i="121" s="1"/>
  <c r="B124" i="121"/>
  <c r="B219" i="121" s="1"/>
  <c r="B314" i="121" s="1"/>
  <c r="B409" i="121" s="1"/>
  <c r="B504" i="121" s="1"/>
  <c r="B599" i="121" s="1"/>
  <c r="B694" i="121" s="1"/>
  <c r="A124" i="121"/>
  <c r="A219" i="121" s="1"/>
  <c r="A314" i="121" s="1"/>
  <c r="A409" i="121" s="1"/>
  <c r="A504" i="121" s="1"/>
  <c r="A599" i="121" s="1"/>
  <c r="A694" i="121" s="1"/>
  <c r="P28" i="121"/>
  <c r="M28" i="121"/>
  <c r="O28" i="121" s="1"/>
  <c r="F123" i="121"/>
  <c r="F218" i="121" s="1"/>
  <c r="E123" i="121"/>
  <c r="E218" i="121" s="1"/>
  <c r="E313" i="121" s="1"/>
  <c r="E408" i="121" s="1"/>
  <c r="E503" i="121" s="1"/>
  <c r="E598" i="121" s="1"/>
  <c r="E693" i="121" s="1"/>
  <c r="D123" i="121"/>
  <c r="D218" i="121" s="1"/>
  <c r="D313" i="121" s="1"/>
  <c r="D408" i="121" s="1"/>
  <c r="D503" i="121" s="1"/>
  <c r="D598" i="121" s="1"/>
  <c r="D693" i="121" s="1"/>
  <c r="C123" i="121"/>
  <c r="C218" i="121" s="1"/>
  <c r="C313" i="121" s="1"/>
  <c r="C408" i="121" s="1"/>
  <c r="C503" i="121" s="1"/>
  <c r="C598" i="121" s="1"/>
  <c r="C693" i="121" s="1"/>
  <c r="B123" i="121"/>
  <c r="B218" i="121" s="1"/>
  <c r="B313" i="121" s="1"/>
  <c r="B408" i="121" s="1"/>
  <c r="B503" i="121" s="1"/>
  <c r="B598" i="121" s="1"/>
  <c r="B693" i="121" s="1"/>
  <c r="M27" i="121"/>
  <c r="H27" i="121"/>
  <c r="N27" i="121" s="1"/>
  <c r="G122" i="121"/>
  <c r="G217" i="121" s="1"/>
  <c r="G312" i="121" s="1"/>
  <c r="G407" i="121" s="1"/>
  <c r="G502" i="121" s="1"/>
  <c r="G597" i="121" s="1"/>
  <c r="G692" i="121" s="1"/>
  <c r="B122" i="121"/>
  <c r="B217" i="121" s="1"/>
  <c r="B312" i="121" s="1"/>
  <c r="B407" i="121" s="1"/>
  <c r="B502" i="121" s="1"/>
  <c r="B597" i="121" s="1"/>
  <c r="B692" i="121" s="1"/>
  <c r="A122" i="121"/>
  <c r="A217" i="121" s="1"/>
  <c r="A312" i="121" s="1"/>
  <c r="A407" i="121" s="1"/>
  <c r="A502" i="121" s="1"/>
  <c r="A597" i="121" s="1"/>
  <c r="A692" i="121" s="1"/>
  <c r="P26" i="121"/>
  <c r="O26" i="121"/>
  <c r="M26" i="121"/>
  <c r="F121" i="121"/>
  <c r="F216" i="121" s="1"/>
  <c r="D121" i="121"/>
  <c r="D216" i="121" s="1"/>
  <c r="D311" i="121" s="1"/>
  <c r="D406" i="121" s="1"/>
  <c r="D501" i="121" s="1"/>
  <c r="D596" i="121" s="1"/>
  <c r="D691" i="121" s="1"/>
  <c r="C121" i="121"/>
  <c r="C216" i="121" s="1"/>
  <c r="C311" i="121" s="1"/>
  <c r="C406" i="121" s="1"/>
  <c r="C501" i="121" s="1"/>
  <c r="C596" i="121" s="1"/>
  <c r="C691" i="121" s="1"/>
  <c r="B121" i="121"/>
  <c r="B216" i="121" s="1"/>
  <c r="B311" i="121" s="1"/>
  <c r="M25" i="121"/>
  <c r="F120" i="121"/>
  <c r="E120" i="121"/>
  <c r="E215" i="121" s="1"/>
  <c r="E310" i="121" s="1"/>
  <c r="E405" i="121" s="1"/>
  <c r="E500" i="121" s="1"/>
  <c r="E595" i="121" s="1"/>
  <c r="E690" i="121" s="1"/>
  <c r="D120" i="121"/>
  <c r="D215" i="121" s="1"/>
  <c r="D310" i="121" s="1"/>
  <c r="D405" i="121" s="1"/>
  <c r="D500" i="121" s="1"/>
  <c r="D595" i="121" s="1"/>
  <c r="D690" i="121" s="1"/>
  <c r="C120" i="121"/>
  <c r="C215" i="121" s="1"/>
  <c r="C310" i="121" s="1"/>
  <c r="C405" i="121" s="1"/>
  <c r="C500" i="121" s="1"/>
  <c r="C595" i="121" s="1"/>
  <c r="C690" i="121" s="1"/>
  <c r="B120" i="121"/>
  <c r="B215" i="121" s="1"/>
  <c r="B310" i="121" s="1"/>
  <c r="B405" i="121" s="1"/>
  <c r="B500" i="121" s="1"/>
  <c r="B595" i="121" s="1"/>
  <c r="B690" i="121" s="1"/>
  <c r="M24" i="121"/>
  <c r="O24" i="121" s="1"/>
  <c r="F119" i="121"/>
  <c r="H24" i="121"/>
  <c r="N24" i="121" s="1"/>
  <c r="D119" i="121"/>
  <c r="D214" i="121" s="1"/>
  <c r="D309" i="121" s="1"/>
  <c r="D404" i="121" s="1"/>
  <c r="D499" i="121" s="1"/>
  <c r="D594" i="121" s="1"/>
  <c r="D689" i="121" s="1"/>
  <c r="C119" i="121"/>
  <c r="C214" i="121" s="1"/>
  <c r="C309" i="121" s="1"/>
  <c r="C404" i="121" s="1"/>
  <c r="C499" i="121" s="1"/>
  <c r="C594" i="121" s="1"/>
  <c r="C689" i="121" s="1"/>
  <c r="B119" i="121"/>
  <c r="B214" i="121" s="1"/>
  <c r="B309" i="121" s="1"/>
  <c r="B404" i="121" s="1"/>
  <c r="B499" i="121" s="1"/>
  <c r="B594" i="121" s="1"/>
  <c r="B689" i="121" s="1"/>
  <c r="A119" i="121"/>
  <c r="A214" i="121" s="1"/>
  <c r="A309" i="121" s="1"/>
  <c r="A404" i="121" s="1"/>
  <c r="A499" i="121" s="1"/>
  <c r="A594" i="121" s="1"/>
  <c r="A689" i="121" s="1"/>
  <c r="O23" i="121"/>
  <c r="P23" i="121" s="1"/>
  <c r="M23" i="121"/>
  <c r="G118" i="121"/>
  <c r="F118" i="121"/>
  <c r="E118" i="121"/>
  <c r="E213" i="121" s="1"/>
  <c r="D118" i="121"/>
  <c r="D213" i="121" s="1"/>
  <c r="D308" i="121" s="1"/>
  <c r="D403" i="121" s="1"/>
  <c r="D498" i="121" s="1"/>
  <c r="D593" i="121" s="1"/>
  <c r="D688" i="121" s="1"/>
  <c r="M22" i="121"/>
  <c r="G117" i="121"/>
  <c r="G212" i="121" s="1"/>
  <c r="G307" i="121" s="1"/>
  <c r="G402" i="121" s="1"/>
  <c r="G497" i="121" s="1"/>
  <c r="G592" i="121" s="1"/>
  <c r="G687" i="121" s="1"/>
  <c r="E117" i="121"/>
  <c r="E212" i="121" s="1"/>
  <c r="E307" i="121" s="1"/>
  <c r="E402" i="121" s="1"/>
  <c r="E497" i="121" s="1"/>
  <c r="E592" i="121" s="1"/>
  <c r="E687" i="121" s="1"/>
  <c r="M21" i="121"/>
  <c r="G116" i="121" s="1"/>
  <c r="G211" i="121" s="1"/>
  <c r="G306" i="121" s="1"/>
  <c r="G401" i="121" s="1"/>
  <c r="G496" i="121" s="1"/>
  <c r="G591" i="121" s="1"/>
  <c r="G686" i="121" s="1"/>
  <c r="H21" i="121"/>
  <c r="D116" i="121"/>
  <c r="D211" i="121" s="1"/>
  <c r="D306" i="121" s="1"/>
  <c r="D401" i="121" s="1"/>
  <c r="D496" i="121" s="1"/>
  <c r="D591" i="121" s="1"/>
  <c r="D686" i="121" s="1"/>
  <c r="C116" i="121"/>
  <c r="C211" i="121" s="1"/>
  <c r="C306" i="121" s="1"/>
  <c r="C401" i="121" s="1"/>
  <c r="C496" i="121" s="1"/>
  <c r="C591" i="121" s="1"/>
  <c r="C686" i="121" s="1"/>
  <c r="B116" i="121"/>
  <c r="B211" i="121" s="1"/>
  <c r="B306" i="121" s="1"/>
  <c r="B401" i="121" s="1"/>
  <c r="B496" i="121" s="1"/>
  <c r="B591" i="121" s="1"/>
  <c r="B686" i="121" s="1"/>
  <c r="A116" i="121"/>
  <c r="M20" i="121"/>
  <c r="H20" i="121"/>
  <c r="N20" i="121" s="1"/>
  <c r="B115" i="121"/>
  <c r="A115" i="121"/>
  <c r="A210" i="121" s="1"/>
  <c r="A305" i="121" s="1"/>
  <c r="A400" i="121" s="1"/>
  <c r="A495" i="121" s="1"/>
  <c r="A590" i="121" s="1"/>
  <c r="A685" i="121" s="1"/>
  <c r="P19" i="121"/>
  <c r="O19" i="121"/>
  <c r="M19" i="121"/>
  <c r="G114" i="121"/>
  <c r="G209" i="121" s="1"/>
  <c r="H19" i="121"/>
  <c r="N19" i="121" s="1"/>
  <c r="E114" i="121"/>
  <c r="E209" i="121" s="1"/>
  <c r="E304" i="121" s="1"/>
  <c r="E399" i="121" s="1"/>
  <c r="E494" i="121" s="1"/>
  <c r="E589" i="121" s="1"/>
  <c r="E684" i="121" s="1"/>
  <c r="B114" i="121"/>
  <c r="B209" i="121" s="1"/>
  <c r="B304" i="121" s="1"/>
  <c r="B399" i="121" s="1"/>
  <c r="B494" i="121" s="1"/>
  <c r="B589" i="121" s="1"/>
  <c r="B684" i="121" s="1"/>
  <c r="M18" i="121"/>
  <c r="E113" i="121"/>
  <c r="E208" i="121" s="1"/>
  <c r="E303" i="121" s="1"/>
  <c r="D113" i="121"/>
  <c r="B113" i="121"/>
  <c r="B208" i="121" s="1"/>
  <c r="B303" i="121" s="1"/>
  <c r="B398" i="121" s="1"/>
  <c r="B493" i="121" s="1"/>
  <c r="B588" i="121" s="1"/>
  <c r="B683" i="121" s="1"/>
  <c r="A113" i="121"/>
  <c r="A208" i="121" s="1"/>
  <c r="A303" i="121" s="1"/>
  <c r="A398" i="121" s="1"/>
  <c r="A493" i="121" s="1"/>
  <c r="A588" i="121" s="1"/>
  <c r="A683" i="121" s="1"/>
  <c r="M17" i="121"/>
  <c r="G112" i="121"/>
  <c r="G207" i="121" s="1"/>
  <c r="G302" i="121" s="1"/>
  <c r="G397" i="121" s="1"/>
  <c r="G492" i="121" s="1"/>
  <c r="G587" i="121" s="1"/>
  <c r="G682" i="121" s="1"/>
  <c r="F112" i="121"/>
  <c r="E112" i="121"/>
  <c r="E207" i="121" s="1"/>
  <c r="E302" i="121" s="1"/>
  <c r="E397" i="121" s="1"/>
  <c r="E492" i="121" s="1"/>
  <c r="E587" i="121" s="1"/>
  <c r="E682" i="121" s="1"/>
  <c r="D112" i="121"/>
  <c r="C112" i="121"/>
  <c r="M16" i="121"/>
  <c r="G111" i="121" s="1"/>
  <c r="G206" i="121" s="1"/>
  <c r="G301" i="121" s="1"/>
  <c r="G396" i="121" s="1"/>
  <c r="G491" i="121" s="1"/>
  <c r="G586" i="121" s="1"/>
  <c r="G681" i="121" s="1"/>
  <c r="H16" i="121"/>
  <c r="N16" i="121" s="1"/>
  <c r="E111" i="121"/>
  <c r="E206" i="121" s="1"/>
  <c r="E301" i="121" s="1"/>
  <c r="E396" i="121" s="1"/>
  <c r="E491" i="121" s="1"/>
  <c r="E586" i="121" s="1"/>
  <c r="E681" i="121" s="1"/>
  <c r="D111" i="121"/>
  <c r="D206" i="121" s="1"/>
  <c r="D301" i="121" s="1"/>
  <c r="D396" i="121" s="1"/>
  <c r="D491" i="121" s="1"/>
  <c r="D586" i="121" s="1"/>
  <c r="D681" i="121" s="1"/>
  <c r="C111" i="121"/>
  <c r="C206" i="121" s="1"/>
  <c r="C301" i="121" s="1"/>
  <c r="C396" i="121" s="1"/>
  <c r="C491" i="121" s="1"/>
  <c r="C586" i="121" s="1"/>
  <c r="C681" i="121" s="1"/>
  <c r="B111" i="121"/>
  <c r="B206" i="121" s="1"/>
  <c r="B301" i="121" s="1"/>
  <c r="B396" i="121" s="1"/>
  <c r="B491" i="121" s="1"/>
  <c r="B586" i="121" s="1"/>
  <c r="B681" i="121" s="1"/>
  <c r="A111" i="121"/>
  <c r="M15" i="121"/>
  <c r="H15" i="121"/>
  <c r="N15" i="121" s="1"/>
  <c r="D110" i="121"/>
  <c r="C110" i="121"/>
  <c r="C205" i="121" s="1"/>
  <c r="C300" i="121" s="1"/>
  <c r="C395" i="121" s="1"/>
  <c r="C490" i="121" s="1"/>
  <c r="C585" i="121" s="1"/>
  <c r="C680" i="121" s="1"/>
  <c r="A110" i="121"/>
  <c r="A205" i="121" s="1"/>
  <c r="A300" i="121" s="1"/>
  <c r="A395" i="121" s="1"/>
  <c r="A490" i="121" s="1"/>
  <c r="A585" i="121" s="1"/>
  <c r="A680" i="121" s="1"/>
  <c r="P14" i="121"/>
  <c r="O14" i="121"/>
  <c r="M14" i="121"/>
  <c r="E109" i="121"/>
  <c r="E204" i="121" s="1"/>
  <c r="E299" i="121" s="1"/>
  <c r="E394" i="121" s="1"/>
  <c r="E489" i="121" s="1"/>
  <c r="E584" i="121" s="1"/>
  <c r="E679" i="121" s="1"/>
  <c r="D109" i="121"/>
  <c r="D204" i="121" s="1"/>
  <c r="D299" i="121" s="1"/>
  <c r="D394" i="121" s="1"/>
  <c r="D489" i="121" s="1"/>
  <c r="D584" i="121" s="1"/>
  <c r="D679" i="121" s="1"/>
  <c r="C109" i="121"/>
  <c r="C204" i="121" s="1"/>
  <c r="C299" i="121" s="1"/>
  <c r="C394" i="121" s="1"/>
  <c r="C489" i="121" s="1"/>
  <c r="C584" i="121" s="1"/>
  <c r="C679" i="121" s="1"/>
  <c r="B109" i="121"/>
  <c r="B204" i="121" s="1"/>
  <c r="B299" i="121" s="1"/>
  <c r="B394" i="121" s="1"/>
  <c r="B489" i="121" s="1"/>
  <c r="B584" i="121" s="1"/>
  <c r="B679" i="121" s="1"/>
  <c r="M13" i="121"/>
  <c r="H13" i="121"/>
  <c r="N13" i="121" s="1"/>
  <c r="G108" i="121"/>
  <c r="G203" i="121" s="1"/>
  <c r="G298" i="121" s="1"/>
  <c r="G393" i="121" s="1"/>
  <c r="G488" i="121" s="1"/>
  <c r="G583" i="121" s="1"/>
  <c r="G678" i="121" s="1"/>
  <c r="D108" i="121"/>
  <c r="D203" i="121" s="1"/>
  <c r="D298" i="121" s="1"/>
  <c r="D393" i="121" s="1"/>
  <c r="D488" i="121" s="1"/>
  <c r="D583" i="121" s="1"/>
  <c r="D678" i="121" s="1"/>
  <c r="C108" i="121"/>
  <c r="C203" i="121" s="1"/>
  <c r="C298" i="121" s="1"/>
  <c r="C393" i="121" s="1"/>
  <c r="C488" i="121" s="1"/>
  <c r="C583" i="121" s="1"/>
  <c r="C678" i="121" s="1"/>
  <c r="B108" i="121"/>
  <c r="B203" i="121" s="1"/>
  <c r="B298" i="121" s="1"/>
  <c r="B393" i="121" s="1"/>
  <c r="B488" i="121" s="1"/>
  <c r="B583" i="121" s="1"/>
  <c r="B678" i="121" s="1"/>
  <c r="A108" i="121"/>
  <c r="A203" i="121" s="1"/>
  <c r="A298" i="121" s="1"/>
  <c r="A393" i="121" s="1"/>
  <c r="A488" i="121" s="1"/>
  <c r="A583" i="121" s="1"/>
  <c r="A678" i="121" s="1"/>
  <c r="P12" i="121"/>
  <c r="O12" i="121"/>
  <c r="M12" i="121"/>
  <c r="G107" i="121"/>
  <c r="G202" i="121" s="1"/>
  <c r="G297" i="121" s="1"/>
  <c r="G392" i="121" s="1"/>
  <c r="G487" i="121" s="1"/>
  <c r="G582" i="121" s="1"/>
  <c r="G677" i="121" s="1"/>
  <c r="F107" i="121"/>
  <c r="D107" i="121"/>
  <c r="D202" i="121" s="1"/>
  <c r="D297" i="121" s="1"/>
  <c r="D392" i="121" s="1"/>
  <c r="D487" i="121" s="1"/>
  <c r="D582" i="121" s="1"/>
  <c r="D677" i="121" s="1"/>
  <c r="B107" i="121"/>
  <c r="M11" i="121"/>
  <c r="O11" i="121" s="1"/>
  <c r="E106" i="121"/>
  <c r="E201" i="121" s="1"/>
  <c r="E296" i="121" s="1"/>
  <c r="E391" i="121" s="1"/>
  <c r="E486" i="121" s="1"/>
  <c r="E581" i="121" s="1"/>
  <c r="E676" i="121" s="1"/>
  <c r="D106" i="121"/>
  <c r="D201" i="121" s="1"/>
  <c r="D296" i="121" s="1"/>
  <c r="D391" i="121" s="1"/>
  <c r="D486" i="121" s="1"/>
  <c r="D581" i="121" s="1"/>
  <c r="D676" i="121" s="1"/>
  <c r="C106" i="121"/>
  <c r="C201" i="121" s="1"/>
  <c r="C296" i="121" s="1"/>
  <c r="C391" i="121" s="1"/>
  <c r="C486" i="121" s="1"/>
  <c r="C581" i="121" s="1"/>
  <c r="C676" i="121" s="1"/>
  <c r="B106" i="121"/>
  <c r="B201" i="121" s="1"/>
  <c r="B296" i="121" s="1"/>
  <c r="B391" i="121" s="1"/>
  <c r="B486" i="121" s="1"/>
  <c r="B581" i="121" s="1"/>
  <c r="B676" i="121" s="1"/>
  <c r="A106" i="121"/>
  <c r="A201" i="121" s="1"/>
  <c r="A296" i="121" s="1"/>
  <c r="A391" i="121" s="1"/>
  <c r="A486" i="121" s="1"/>
  <c r="A581" i="121" s="1"/>
  <c r="A676" i="121" s="1"/>
  <c r="J100" i="121"/>
  <c r="I100" i="121"/>
  <c r="E105" i="121"/>
  <c r="E200" i="121" s="1"/>
  <c r="E295" i="121" s="1"/>
  <c r="E390" i="121" s="1"/>
  <c r="E485" i="121" s="1"/>
  <c r="E580" i="121" s="1"/>
  <c r="E675" i="121" s="1"/>
  <c r="D105" i="121"/>
  <c r="D200" i="121" s="1"/>
  <c r="D295" i="121" s="1"/>
  <c r="D390" i="121" s="1"/>
  <c r="D485" i="121" s="1"/>
  <c r="D580" i="121" s="1"/>
  <c r="D675" i="121" s="1"/>
  <c r="F3" i="76"/>
  <c r="F2" i="76"/>
  <c r="B8" i="76"/>
  <c r="B9" i="76" s="1"/>
  <c r="P36" i="119" l="1"/>
  <c r="S36" i="119" s="1"/>
  <c r="P44" i="119"/>
  <c r="S44" i="119" s="1"/>
  <c r="P68" i="119"/>
  <c r="S68" i="119" s="1"/>
  <c r="P60" i="119"/>
  <c r="S60" i="119" s="1"/>
  <c r="P28" i="119"/>
  <c r="S28" i="119" s="1"/>
  <c r="D40" i="119"/>
  <c r="D35" i="119"/>
  <c r="D37" i="119"/>
  <c r="F46" i="120"/>
  <c r="K45" i="120"/>
  <c r="F56" i="120"/>
  <c r="K55" i="120"/>
  <c r="K27" i="120"/>
  <c r="F28" i="120"/>
  <c r="K19" i="120"/>
  <c r="F20" i="120"/>
  <c r="K12" i="120"/>
  <c r="F13" i="120"/>
  <c r="T63" i="120"/>
  <c r="T102" i="120" s="1"/>
  <c r="T64" i="120"/>
  <c r="AR102" i="120"/>
  <c r="K11" i="120"/>
  <c r="K26" i="120"/>
  <c r="K76" i="120"/>
  <c r="AS92" i="120"/>
  <c r="AS102" i="120" s="1"/>
  <c r="R102" i="120"/>
  <c r="K18" i="120"/>
  <c r="F42" i="120"/>
  <c r="K42" i="120" s="1"/>
  <c r="F64" i="120"/>
  <c r="K44" i="120"/>
  <c r="F230" i="121"/>
  <c r="G139" i="121"/>
  <c r="G234" i="121" s="1"/>
  <c r="G329" i="121" s="1"/>
  <c r="G424" i="121" s="1"/>
  <c r="G519" i="121" s="1"/>
  <c r="G614" i="121" s="1"/>
  <c r="G709" i="121" s="1"/>
  <c r="O44" i="121"/>
  <c r="P44" i="121"/>
  <c r="O48" i="121"/>
  <c r="P48" i="121" s="1"/>
  <c r="O51" i="121"/>
  <c r="P51" i="121" s="1"/>
  <c r="F265" i="121"/>
  <c r="G221" i="121"/>
  <c r="G316" i="121" s="1"/>
  <c r="G411" i="121" s="1"/>
  <c r="G506" i="121" s="1"/>
  <c r="G601" i="121" s="1"/>
  <c r="G696" i="121" s="1"/>
  <c r="O113" i="121"/>
  <c r="P113" i="121" s="1"/>
  <c r="O439" i="121"/>
  <c r="P439" i="121" s="1"/>
  <c r="O22" i="121"/>
  <c r="P22" i="121" s="1"/>
  <c r="N30" i="121"/>
  <c r="O30" i="121"/>
  <c r="P30" i="121" s="1"/>
  <c r="F214" i="121"/>
  <c r="F247" i="121"/>
  <c r="H152" i="121"/>
  <c r="N152" i="121" s="1"/>
  <c r="O59" i="121"/>
  <c r="P59" i="121" s="1"/>
  <c r="G154" i="121"/>
  <c r="G249" i="121" s="1"/>
  <c r="G344" i="121" s="1"/>
  <c r="G439" i="121" s="1"/>
  <c r="G534" i="121" s="1"/>
  <c r="G629" i="121" s="1"/>
  <c r="G724" i="121" s="1"/>
  <c r="N59" i="121"/>
  <c r="O66" i="121"/>
  <c r="P66" i="121" s="1"/>
  <c r="P144" i="121"/>
  <c r="O151" i="121"/>
  <c r="P151" i="121" s="1"/>
  <c r="F344" i="121"/>
  <c r="F368" i="121"/>
  <c r="H273" i="121"/>
  <c r="N273" i="121" s="1"/>
  <c r="O214" i="121"/>
  <c r="P214" i="121" s="1"/>
  <c r="O227" i="121"/>
  <c r="P227" i="121" s="1"/>
  <c r="P319" i="121"/>
  <c r="O319" i="121"/>
  <c r="O13" i="121"/>
  <c r="P13" i="121"/>
  <c r="G143" i="121"/>
  <c r="G238" i="121" s="1"/>
  <c r="G333" i="121" s="1"/>
  <c r="G428" i="121" s="1"/>
  <c r="G523" i="121" s="1"/>
  <c r="G618" i="121" s="1"/>
  <c r="G713" i="121" s="1"/>
  <c r="F338" i="121"/>
  <c r="H243" i="121"/>
  <c r="N243" i="121" s="1"/>
  <c r="O56" i="121"/>
  <c r="P56" i="121" s="1"/>
  <c r="N56" i="121"/>
  <c r="O63" i="121"/>
  <c r="P63" i="121" s="1"/>
  <c r="O67" i="121"/>
  <c r="P67" i="121" s="1"/>
  <c r="G165" i="121"/>
  <c r="G260" i="121" s="1"/>
  <c r="G355" i="121" s="1"/>
  <c r="G450" i="121" s="1"/>
  <c r="G545" i="121" s="1"/>
  <c r="G640" i="121" s="1"/>
  <c r="G735" i="121" s="1"/>
  <c r="O70" i="121"/>
  <c r="P70" i="121" s="1"/>
  <c r="O106" i="121"/>
  <c r="P106" i="121" s="1"/>
  <c r="O211" i="121"/>
  <c r="P211" i="121" s="1"/>
  <c r="O18" i="121"/>
  <c r="P18" i="121" s="1"/>
  <c r="G113" i="121"/>
  <c r="G208" i="121" s="1"/>
  <c r="G303" i="121" s="1"/>
  <c r="G398" i="121" s="1"/>
  <c r="G493" i="121" s="1"/>
  <c r="G588" i="121" s="1"/>
  <c r="G683" i="121" s="1"/>
  <c r="P52" i="121"/>
  <c r="O52" i="121"/>
  <c r="F301" i="121"/>
  <c r="H206" i="121"/>
  <c r="N206" i="121" s="1"/>
  <c r="O139" i="121"/>
  <c r="P139" i="121"/>
  <c r="O159" i="121"/>
  <c r="P159" i="121" s="1"/>
  <c r="G254" i="121"/>
  <c r="G349" i="121" s="1"/>
  <c r="G444" i="121" s="1"/>
  <c r="G539" i="121" s="1"/>
  <c r="G634" i="121" s="1"/>
  <c r="G729" i="121" s="1"/>
  <c r="O310" i="121"/>
  <c r="P310" i="121" s="1"/>
  <c r="O29" i="121"/>
  <c r="G124" i="121"/>
  <c r="G219" i="121" s="1"/>
  <c r="G314" i="121" s="1"/>
  <c r="G409" i="121" s="1"/>
  <c r="G504" i="121" s="1"/>
  <c r="G599" i="121" s="1"/>
  <c r="G694" i="121" s="1"/>
  <c r="P29" i="121"/>
  <c r="O40" i="121"/>
  <c r="P40" i="121" s="1"/>
  <c r="G135" i="121"/>
  <c r="G230" i="121" s="1"/>
  <c r="G325" i="121" s="1"/>
  <c r="G420" i="121" s="1"/>
  <c r="G515" i="121" s="1"/>
  <c r="G610" i="121" s="1"/>
  <c r="G705" i="121" s="1"/>
  <c r="F255" i="121"/>
  <c r="O118" i="121"/>
  <c r="P118" i="121" s="1"/>
  <c r="O126" i="121"/>
  <c r="P126" i="121" s="1"/>
  <c r="P137" i="121"/>
  <c r="O137" i="121"/>
  <c r="O37" i="121"/>
  <c r="P37" i="121"/>
  <c r="G132" i="121"/>
  <c r="G227" i="121" s="1"/>
  <c r="G322" i="121" s="1"/>
  <c r="G417" i="121" s="1"/>
  <c r="G512" i="121" s="1"/>
  <c r="G607" i="121" s="1"/>
  <c r="G702" i="121" s="1"/>
  <c r="F268" i="121"/>
  <c r="H173" i="121"/>
  <c r="N173" i="121" s="1"/>
  <c r="O150" i="121"/>
  <c r="P150" i="121"/>
  <c r="O237" i="121"/>
  <c r="P237" i="121" s="1"/>
  <c r="O259" i="121"/>
  <c r="P259" i="121" s="1"/>
  <c r="F324" i="121"/>
  <c r="H229" i="121"/>
  <c r="N229" i="121" s="1"/>
  <c r="F312" i="121"/>
  <c r="H217" i="121"/>
  <c r="N217" i="121" s="1"/>
  <c r="O128" i="121"/>
  <c r="P128" i="121"/>
  <c r="F256" i="121"/>
  <c r="H161" i="121"/>
  <c r="N161" i="121" s="1"/>
  <c r="O162" i="121"/>
  <c r="P162" i="121" s="1"/>
  <c r="P27" i="121"/>
  <c r="F222" i="121"/>
  <c r="H127" i="121"/>
  <c r="N127" i="121" s="1"/>
  <c r="G146" i="121"/>
  <c r="G241" i="121" s="1"/>
  <c r="G336" i="121" s="1"/>
  <c r="G431" i="121" s="1"/>
  <c r="G526" i="121" s="1"/>
  <c r="G621" i="121" s="1"/>
  <c r="G716" i="121" s="1"/>
  <c r="H175" i="121"/>
  <c r="N175" i="121" s="1"/>
  <c r="F270" i="121"/>
  <c r="H107" i="121"/>
  <c r="N107" i="121" s="1"/>
  <c r="F202" i="121"/>
  <c r="O17" i="121"/>
  <c r="P17" i="121" s="1"/>
  <c r="N29" i="121"/>
  <c r="N44" i="121"/>
  <c r="F241" i="121"/>
  <c r="H146" i="121"/>
  <c r="N146" i="121" s="1"/>
  <c r="O71" i="121"/>
  <c r="P71" i="121" s="1"/>
  <c r="H169" i="121"/>
  <c r="N169" i="121" s="1"/>
  <c r="F264" i="121"/>
  <c r="F271" i="121"/>
  <c r="H176" i="121"/>
  <c r="N176" i="121" s="1"/>
  <c r="O108" i="121"/>
  <c r="P108" i="121" s="1"/>
  <c r="O110" i="121"/>
  <c r="P110" i="121" s="1"/>
  <c r="O121" i="121"/>
  <c r="P121" i="121" s="1"/>
  <c r="O145" i="121"/>
  <c r="P145" i="121" s="1"/>
  <c r="F339" i="121"/>
  <c r="H134" i="121"/>
  <c r="N134" i="121" s="1"/>
  <c r="P209" i="121"/>
  <c r="P343" i="121"/>
  <c r="O416" i="121"/>
  <c r="P416" i="121"/>
  <c r="P11" i="121"/>
  <c r="O61" i="121"/>
  <c r="P61" i="121" s="1"/>
  <c r="G166" i="121"/>
  <c r="G261" i="121" s="1"/>
  <c r="G356" i="121" s="1"/>
  <c r="G451" i="121" s="1"/>
  <c r="G546" i="121" s="1"/>
  <c r="G641" i="121" s="1"/>
  <c r="G736" i="121" s="1"/>
  <c r="H71" i="121"/>
  <c r="N71" i="121" s="1"/>
  <c r="G361" i="121"/>
  <c r="G456" i="121" s="1"/>
  <c r="G551" i="121" s="1"/>
  <c r="G646" i="121" s="1"/>
  <c r="G741" i="121" s="1"/>
  <c r="G119" i="121"/>
  <c r="G214" i="121" s="1"/>
  <c r="G309" i="121" s="1"/>
  <c r="G404" i="121" s="1"/>
  <c r="G499" i="121" s="1"/>
  <c r="G594" i="121" s="1"/>
  <c r="G689" i="121" s="1"/>
  <c r="H121" i="121"/>
  <c r="N121" i="121" s="1"/>
  <c r="H124" i="121"/>
  <c r="N124" i="121" s="1"/>
  <c r="F275" i="121"/>
  <c r="H180" i="121"/>
  <c r="N180" i="121" s="1"/>
  <c r="P224" i="121"/>
  <c r="O304" i="121"/>
  <c r="P304" i="121"/>
  <c r="O308" i="121"/>
  <c r="P308" i="121" s="1"/>
  <c r="O315" i="121"/>
  <c r="P315" i="121" s="1"/>
  <c r="O348" i="121"/>
  <c r="P348" i="121" s="1"/>
  <c r="O429" i="121"/>
  <c r="P429" i="121" s="1"/>
  <c r="O432" i="121"/>
  <c r="P432" i="121" s="1"/>
  <c r="O588" i="121"/>
  <c r="P588" i="121" s="1"/>
  <c r="M10" i="121"/>
  <c r="H11" i="121"/>
  <c r="N11" i="121" s="1"/>
  <c r="O20" i="121"/>
  <c r="P20" i="121" s="1"/>
  <c r="H23" i="121"/>
  <c r="N23" i="121" s="1"/>
  <c r="O27" i="121"/>
  <c r="G123" i="121"/>
  <c r="G218" i="121" s="1"/>
  <c r="G313" i="121" s="1"/>
  <c r="G408" i="121" s="1"/>
  <c r="G503" i="121" s="1"/>
  <c r="G598" i="121" s="1"/>
  <c r="G693" i="121" s="1"/>
  <c r="H125" i="121"/>
  <c r="N125" i="121" s="1"/>
  <c r="H31" i="121"/>
  <c r="N31" i="121" s="1"/>
  <c r="O35" i="121"/>
  <c r="G131" i="121"/>
  <c r="G133" i="121"/>
  <c r="G228" i="121" s="1"/>
  <c r="G323" i="121" s="1"/>
  <c r="G418" i="121" s="1"/>
  <c r="G513" i="121" s="1"/>
  <c r="G608" i="121" s="1"/>
  <c r="G703" i="121" s="1"/>
  <c r="H45" i="121"/>
  <c r="N45" i="121" s="1"/>
  <c r="H49" i="121"/>
  <c r="N49" i="121" s="1"/>
  <c r="H68" i="121"/>
  <c r="N68" i="121" s="1"/>
  <c r="F263" i="121"/>
  <c r="H76" i="121"/>
  <c r="N76" i="121" s="1"/>
  <c r="H80" i="121"/>
  <c r="N80" i="121" s="1"/>
  <c r="G176" i="121"/>
  <c r="G271" i="121" s="1"/>
  <c r="G366" i="121" s="1"/>
  <c r="G461" i="121" s="1"/>
  <c r="G556" i="121" s="1"/>
  <c r="G651" i="121" s="1"/>
  <c r="G746" i="121" s="1"/>
  <c r="G177" i="121"/>
  <c r="G272" i="121" s="1"/>
  <c r="G367" i="121" s="1"/>
  <c r="G462" i="121" s="1"/>
  <c r="G557" i="121" s="1"/>
  <c r="G652" i="121" s="1"/>
  <c r="G747" i="121" s="1"/>
  <c r="H84" i="121"/>
  <c r="N84" i="121" s="1"/>
  <c r="H91" i="121"/>
  <c r="N91" i="121" s="1"/>
  <c r="G187" i="121"/>
  <c r="G282" i="121" s="1"/>
  <c r="G377" i="121" s="1"/>
  <c r="G472" i="121" s="1"/>
  <c r="G567" i="121" s="1"/>
  <c r="G662" i="121" s="1"/>
  <c r="G757" i="121" s="1"/>
  <c r="F188" i="121"/>
  <c r="H93" i="121"/>
  <c r="N93" i="121" s="1"/>
  <c r="H99" i="121"/>
  <c r="N99" i="121" s="1"/>
  <c r="H116" i="121"/>
  <c r="N116" i="121" s="1"/>
  <c r="P131" i="121"/>
  <c r="O136" i="121"/>
  <c r="P136" i="121" s="1"/>
  <c r="P142" i="121"/>
  <c r="H154" i="121"/>
  <c r="N154" i="121" s="1"/>
  <c r="F155" i="121"/>
  <c r="G160" i="121"/>
  <c r="G255" i="121" s="1"/>
  <c r="G350" i="121" s="1"/>
  <c r="G445" i="121" s="1"/>
  <c r="G540" i="121" s="1"/>
  <c r="G635" i="121" s="1"/>
  <c r="G730" i="121" s="1"/>
  <c r="F201" i="121"/>
  <c r="O226" i="121"/>
  <c r="P226" i="121" s="1"/>
  <c r="O248" i="121"/>
  <c r="P248" i="121" s="1"/>
  <c r="O250" i="121"/>
  <c r="P250" i="121" s="1"/>
  <c r="O261" i="121"/>
  <c r="P261" i="121" s="1"/>
  <c r="O299" i="121"/>
  <c r="P299" i="121"/>
  <c r="O324" i="121"/>
  <c r="P324" i="121" s="1"/>
  <c r="O356" i="121"/>
  <c r="P356" i="121" s="1"/>
  <c r="P212" i="121"/>
  <c r="F327" i="121"/>
  <c r="H232" i="121"/>
  <c r="N232" i="121" s="1"/>
  <c r="H17" i="121"/>
  <c r="N17" i="121" s="1"/>
  <c r="G213" i="121"/>
  <c r="G308" i="121" s="1"/>
  <c r="G403" i="121" s="1"/>
  <c r="G498" i="121" s="1"/>
  <c r="G593" i="121" s="1"/>
  <c r="G688" i="121" s="1"/>
  <c r="H128" i="121"/>
  <c r="N128" i="121" s="1"/>
  <c r="F223" i="121"/>
  <c r="F416" i="121"/>
  <c r="P47" i="121"/>
  <c r="H69" i="121"/>
  <c r="N69" i="121" s="1"/>
  <c r="G174" i="121"/>
  <c r="G269" i="121" s="1"/>
  <c r="G364" i="121" s="1"/>
  <c r="G459" i="121" s="1"/>
  <c r="G554" i="121" s="1"/>
  <c r="G649" i="121" s="1"/>
  <c r="G744" i="121" s="1"/>
  <c r="H79" i="121"/>
  <c r="N79" i="121" s="1"/>
  <c r="F282" i="121"/>
  <c r="O109" i="121"/>
  <c r="P109" i="121" s="1"/>
  <c r="F114" i="121"/>
  <c r="H123" i="121"/>
  <c r="N123" i="121" s="1"/>
  <c r="O158" i="121"/>
  <c r="P158" i="121" s="1"/>
  <c r="P203" i="121"/>
  <c r="O203" i="121"/>
  <c r="G106" i="121"/>
  <c r="G201" i="121" s="1"/>
  <c r="G296" i="121" s="1"/>
  <c r="G391" i="121" s="1"/>
  <c r="G486" i="121" s="1"/>
  <c r="F108" i="121"/>
  <c r="O15" i="121"/>
  <c r="P15" i="121" s="1"/>
  <c r="N21" i="121"/>
  <c r="P24" i="121"/>
  <c r="H25" i="121"/>
  <c r="N25" i="121" s="1"/>
  <c r="P35" i="121"/>
  <c r="H36" i="121"/>
  <c r="N36" i="121" s="1"/>
  <c r="P41" i="121"/>
  <c r="G137" i="121"/>
  <c r="G232" i="121" s="1"/>
  <c r="G327" i="121" s="1"/>
  <c r="G422" i="121" s="1"/>
  <c r="G517" i="121" s="1"/>
  <c r="G612" i="121" s="1"/>
  <c r="G707" i="121" s="1"/>
  <c r="F139" i="121"/>
  <c r="F142" i="121"/>
  <c r="O53" i="121"/>
  <c r="P53" i="121" s="1"/>
  <c r="G150" i="121"/>
  <c r="G245" i="121" s="1"/>
  <c r="G340" i="121" s="1"/>
  <c r="G435" i="121" s="1"/>
  <c r="G530" i="121" s="1"/>
  <c r="G625" i="121" s="1"/>
  <c r="G720" i="121" s="1"/>
  <c r="O55" i="121"/>
  <c r="P55" i="121" s="1"/>
  <c r="F246" i="121"/>
  <c r="H57" i="121"/>
  <c r="N57" i="121" s="1"/>
  <c r="G161" i="121"/>
  <c r="G256" i="121" s="1"/>
  <c r="G351" i="121" s="1"/>
  <c r="G446" i="121" s="1"/>
  <c r="G541" i="121" s="1"/>
  <c r="G636" i="121" s="1"/>
  <c r="G731" i="121" s="1"/>
  <c r="H74" i="121"/>
  <c r="N74" i="121" s="1"/>
  <c r="G172" i="121"/>
  <c r="G267" i="121" s="1"/>
  <c r="G362" i="121" s="1"/>
  <c r="G457" i="121" s="1"/>
  <c r="G552" i="121" s="1"/>
  <c r="G647" i="121" s="1"/>
  <c r="G742" i="121" s="1"/>
  <c r="H77" i="121"/>
  <c r="N77" i="121" s="1"/>
  <c r="N81" i="121"/>
  <c r="H82" i="121"/>
  <c r="N82" i="121" s="1"/>
  <c r="H83" i="121"/>
  <c r="N83" i="121" s="1"/>
  <c r="G179" i="121"/>
  <c r="G274" i="121" s="1"/>
  <c r="G369" i="121" s="1"/>
  <c r="G464" i="121" s="1"/>
  <c r="G559" i="121" s="1"/>
  <c r="G654" i="121" s="1"/>
  <c r="G749" i="121" s="1"/>
  <c r="F181" i="121"/>
  <c r="H92" i="121"/>
  <c r="N92" i="121" s="1"/>
  <c r="G188" i="121"/>
  <c r="G283" i="121" s="1"/>
  <c r="G378" i="121" s="1"/>
  <c r="G473" i="121" s="1"/>
  <c r="G568" i="121" s="1"/>
  <c r="G663" i="121" s="1"/>
  <c r="G758" i="121" s="1"/>
  <c r="F189" i="121"/>
  <c r="F105" i="121"/>
  <c r="P123" i="121"/>
  <c r="O129" i="121"/>
  <c r="P129" i="121" s="1"/>
  <c r="O134" i="121"/>
  <c r="P134" i="121" s="1"/>
  <c r="F138" i="121"/>
  <c r="O148" i="121"/>
  <c r="P148" i="121" s="1"/>
  <c r="P156" i="121"/>
  <c r="O156" i="121"/>
  <c r="G168" i="121"/>
  <c r="G263" i="121" s="1"/>
  <c r="G358" i="121" s="1"/>
  <c r="G453" i="121" s="1"/>
  <c r="G548" i="121" s="1"/>
  <c r="G643" i="121" s="1"/>
  <c r="G738" i="121" s="1"/>
  <c r="H179" i="121"/>
  <c r="N179" i="121" s="1"/>
  <c r="P202" i="121"/>
  <c r="O224" i="121"/>
  <c r="O228" i="121"/>
  <c r="P228" i="121" s="1"/>
  <c r="P244" i="121"/>
  <c r="O244" i="121"/>
  <c r="O245" i="121"/>
  <c r="P245" i="121" s="1"/>
  <c r="H252" i="121"/>
  <c r="N252" i="121" s="1"/>
  <c r="F274" i="121"/>
  <c r="O322" i="121"/>
  <c r="P322" i="121" s="1"/>
  <c r="P332" i="121"/>
  <c r="P334" i="121"/>
  <c r="O334" i="121"/>
  <c r="O344" i="121"/>
  <c r="P344" i="121" s="1"/>
  <c r="O394" i="121"/>
  <c r="P394" i="121" s="1"/>
  <c r="O539" i="121"/>
  <c r="P539" i="121" s="1"/>
  <c r="G100" i="121"/>
  <c r="P21" i="121"/>
  <c r="F311" i="121"/>
  <c r="H216" i="121"/>
  <c r="N216" i="121" s="1"/>
  <c r="N95" i="121"/>
  <c r="F537" i="121"/>
  <c r="F355" i="121"/>
  <c r="F269" i="121"/>
  <c r="G240" i="121"/>
  <c r="G335" i="121" s="1"/>
  <c r="G430" i="121" s="1"/>
  <c r="G525" i="121" s="1"/>
  <c r="G620" i="121" s="1"/>
  <c r="G715" i="121" s="1"/>
  <c r="O247" i="121"/>
  <c r="P247" i="121" s="1"/>
  <c r="P300" i="121"/>
  <c r="O485" i="121"/>
  <c r="P485" i="121" s="1"/>
  <c r="O610" i="121"/>
  <c r="P610" i="121" s="1"/>
  <c r="O621" i="121"/>
  <c r="P621" i="121" s="1"/>
  <c r="F109" i="121"/>
  <c r="H14" i="121"/>
  <c r="N14" i="121" s="1"/>
  <c r="F207" i="121"/>
  <c r="H112" i="121"/>
  <c r="N112" i="121" s="1"/>
  <c r="H32" i="121"/>
  <c r="N32" i="121" s="1"/>
  <c r="G440" i="121"/>
  <c r="G535" i="121" s="1"/>
  <c r="G630" i="121" s="1"/>
  <c r="G725" i="121" s="1"/>
  <c r="F259" i="121"/>
  <c r="H164" i="121"/>
  <c r="N164" i="121" s="1"/>
  <c r="F280" i="121"/>
  <c r="M105" i="121"/>
  <c r="F314" i="121"/>
  <c r="H219" i="121"/>
  <c r="N219" i="121" s="1"/>
  <c r="H130" i="121"/>
  <c r="N130" i="121" s="1"/>
  <c r="F225" i="121"/>
  <c r="G149" i="121"/>
  <c r="G244" i="121" s="1"/>
  <c r="G339" i="121" s="1"/>
  <c r="G434" i="121" s="1"/>
  <c r="G529" i="121" s="1"/>
  <c r="G624" i="121" s="1"/>
  <c r="G719" i="121" s="1"/>
  <c r="G347" i="121"/>
  <c r="G442" i="121" s="1"/>
  <c r="G537" i="121" s="1"/>
  <c r="G632" i="121" s="1"/>
  <c r="G727" i="121" s="1"/>
  <c r="O252" i="121"/>
  <c r="P161" i="121"/>
  <c r="O238" i="121"/>
  <c r="P238" i="121" s="1"/>
  <c r="H12" i="121"/>
  <c r="N12" i="121" s="1"/>
  <c r="O16" i="121"/>
  <c r="P16" i="121" s="1"/>
  <c r="H118" i="121"/>
  <c r="N118" i="121" s="1"/>
  <c r="F213" i="121"/>
  <c r="H26" i="121"/>
  <c r="N26" i="121" s="1"/>
  <c r="H126" i="121"/>
  <c r="N126" i="121" s="1"/>
  <c r="F221" i="121"/>
  <c r="H34" i="121"/>
  <c r="N34" i="121" s="1"/>
  <c r="H39" i="121"/>
  <c r="N39" i="121" s="1"/>
  <c r="P54" i="121"/>
  <c r="H55" i="121"/>
  <c r="N55" i="121" s="1"/>
  <c r="F159" i="121"/>
  <c r="H64" i="121"/>
  <c r="N64" i="121" s="1"/>
  <c r="O68" i="121"/>
  <c r="P68" i="121" s="1"/>
  <c r="G354" i="121"/>
  <c r="G449" i="121" s="1"/>
  <c r="G544" i="121" s="1"/>
  <c r="G639" i="121" s="1"/>
  <c r="G734" i="121" s="1"/>
  <c r="H90" i="121"/>
  <c r="N90" i="121" s="1"/>
  <c r="G185" i="121"/>
  <c r="G280" i="121" s="1"/>
  <c r="G375" i="121" s="1"/>
  <c r="G470" i="121" s="1"/>
  <c r="G565" i="121" s="1"/>
  <c r="G660" i="121" s="1"/>
  <c r="G755" i="121" s="1"/>
  <c r="H98" i="121"/>
  <c r="N98" i="121" s="1"/>
  <c r="G193" i="121"/>
  <c r="G288" i="121" s="1"/>
  <c r="G383" i="121" s="1"/>
  <c r="G478" i="121" s="1"/>
  <c r="G573" i="121" s="1"/>
  <c r="G668" i="121" s="1"/>
  <c r="G763" i="121" s="1"/>
  <c r="H111" i="121"/>
  <c r="N111" i="121" s="1"/>
  <c r="F228" i="121"/>
  <c r="H133" i="121"/>
  <c r="N133" i="121" s="1"/>
  <c r="O144" i="121"/>
  <c r="H157" i="121"/>
  <c r="N157" i="121" s="1"/>
  <c r="O216" i="121"/>
  <c r="P216" i="121" s="1"/>
  <c r="O393" i="121"/>
  <c r="P393" i="121" s="1"/>
  <c r="O504" i="121"/>
  <c r="P504" i="121"/>
  <c r="F215" i="121"/>
  <c r="P42" i="121"/>
  <c r="P49" i="121"/>
  <c r="H50" i="121"/>
  <c r="N50" i="121" s="1"/>
  <c r="H52" i="121"/>
  <c r="N52" i="121" s="1"/>
  <c r="F272" i="121"/>
  <c r="H177" i="121"/>
  <c r="N177" i="121" s="1"/>
  <c r="F141" i="121"/>
  <c r="P152" i="121"/>
  <c r="H28" i="121"/>
  <c r="N28" i="121" s="1"/>
  <c r="P32" i="121"/>
  <c r="H33" i="121"/>
  <c r="N33" i="121" s="1"/>
  <c r="G144" i="121"/>
  <c r="G239" i="121" s="1"/>
  <c r="G334" i="121" s="1"/>
  <c r="G429" i="121" s="1"/>
  <c r="G524" i="121" s="1"/>
  <c r="G619" i="121" s="1"/>
  <c r="G714" i="121" s="1"/>
  <c r="F156" i="121"/>
  <c r="F110" i="121"/>
  <c r="F115" i="121"/>
  <c r="H42" i="121"/>
  <c r="N42" i="121" s="1"/>
  <c r="G142" i="121"/>
  <c r="G237" i="121" s="1"/>
  <c r="G332" i="121" s="1"/>
  <c r="G427" i="121" s="1"/>
  <c r="G522" i="121" s="1"/>
  <c r="G617" i="121" s="1"/>
  <c r="G712" i="121" s="1"/>
  <c r="G156" i="121"/>
  <c r="G251" i="121" s="1"/>
  <c r="G346" i="121" s="1"/>
  <c r="G441" i="121" s="1"/>
  <c r="G536" i="121" s="1"/>
  <c r="G631" i="121" s="1"/>
  <c r="G726" i="121" s="1"/>
  <c r="H66" i="121"/>
  <c r="N66" i="121" s="1"/>
  <c r="F167" i="121"/>
  <c r="H72" i="121"/>
  <c r="N72" i="121" s="1"/>
  <c r="H85" i="121"/>
  <c r="N85" i="121" s="1"/>
  <c r="G180" i="121"/>
  <c r="G275" i="121" s="1"/>
  <c r="G370" i="121" s="1"/>
  <c r="G465" i="121" s="1"/>
  <c r="G560" i="121" s="1"/>
  <c r="G655" i="121" s="1"/>
  <c r="G750" i="121" s="1"/>
  <c r="H94" i="121"/>
  <c r="N94" i="121" s="1"/>
  <c r="G189" i="121"/>
  <c r="G284" i="121" s="1"/>
  <c r="G379" i="121" s="1"/>
  <c r="G474" i="121" s="1"/>
  <c r="G569" i="121" s="1"/>
  <c r="G664" i="121" s="1"/>
  <c r="G759" i="121" s="1"/>
  <c r="P115" i="121"/>
  <c r="P125" i="121"/>
  <c r="H168" i="121"/>
  <c r="N168" i="121" s="1"/>
  <c r="P215" i="121"/>
  <c r="F220" i="121"/>
  <c r="P223" i="121"/>
  <c r="O239" i="121"/>
  <c r="P239" i="121" s="1"/>
  <c r="O258" i="121"/>
  <c r="P258" i="121" s="1"/>
  <c r="P311" i="121"/>
  <c r="O332" i="121"/>
  <c r="O337" i="121"/>
  <c r="P337" i="121" s="1"/>
  <c r="O517" i="121"/>
  <c r="P517" i="121" s="1"/>
  <c r="G120" i="121"/>
  <c r="G215" i="121" s="1"/>
  <c r="G310" i="121" s="1"/>
  <c r="G405" i="121" s="1"/>
  <c r="G500" i="121" s="1"/>
  <c r="G595" i="121" s="1"/>
  <c r="G690" i="121" s="1"/>
  <c r="O25" i="121"/>
  <c r="P25" i="121" s="1"/>
  <c r="G128" i="121"/>
  <c r="G223" i="121" s="1"/>
  <c r="G318" i="121" s="1"/>
  <c r="G413" i="121" s="1"/>
  <c r="G508" i="121" s="1"/>
  <c r="G603" i="121" s="1"/>
  <c r="G698" i="121" s="1"/>
  <c r="O33" i="121"/>
  <c r="P33" i="121" s="1"/>
  <c r="F319" i="121"/>
  <c r="N51" i="121"/>
  <c r="F245" i="121"/>
  <c r="F248" i="121"/>
  <c r="H153" i="121"/>
  <c r="N153" i="121" s="1"/>
  <c r="N70" i="121"/>
  <c r="N87" i="121"/>
  <c r="F184" i="121"/>
  <c r="H89" i="121"/>
  <c r="N89" i="121" s="1"/>
  <c r="F192" i="121"/>
  <c r="H97" i="121"/>
  <c r="N97" i="121" s="1"/>
  <c r="F100" i="121"/>
  <c r="F322" i="121"/>
  <c r="O249" i="121"/>
  <c r="P249" i="121" s="1"/>
  <c r="H313" i="121"/>
  <c r="N313" i="121" s="1"/>
  <c r="F408" i="121"/>
  <c r="P318" i="121"/>
  <c r="O345" i="121"/>
  <c r="P345" i="121" s="1"/>
  <c r="P407" i="121"/>
  <c r="O414" i="121"/>
  <c r="P414" i="121"/>
  <c r="O618" i="121"/>
  <c r="P618" i="121" s="1"/>
  <c r="H10" i="121"/>
  <c r="O21" i="121"/>
  <c r="F242" i="121"/>
  <c r="H53" i="121"/>
  <c r="N53" i="121" s="1"/>
  <c r="G162" i="121"/>
  <c r="G257" i="121" s="1"/>
  <c r="G352" i="121" s="1"/>
  <c r="G447" i="121" s="1"/>
  <c r="G542" i="121" s="1"/>
  <c r="G637" i="121" s="1"/>
  <c r="G732" i="121" s="1"/>
  <c r="H67" i="121"/>
  <c r="N67" i="121" s="1"/>
  <c r="H88" i="121"/>
  <c r="N88" i="121" s="1"/>
  <c r="H96" i="121"/>
  <c r="N96" i="121" s="1"/>
  <c r="O225" i="121"/>
  <c r="P225" i="121" s="1"/>
  <c r="P236" i="121"/>
  <c r="F288" i="121"/>
  <c r="O318" i="121"/>
  <c r="O323" i="121"/>
  <c r="P323" i="121" s="1"/>
  <c r="O355" i="121"/>
  <c r="P355" i="121" s="1"/>
  <c r="O395" i="121"/>
  <c r="P395" i="121" s="1"/>
  <c r="G304" i="121"/>
  <c r="G399" i="121" s="1"/>
  <c r="G494" i="121" s="1"/>
  <c r="G589" i="121" s="1"/>
  <c r="G684" i="121" s="1"/>
  <c r="F330" i="121"/>
  <c r="H235" i="121"/>
  <c r="N235" i="121" s="1"/>
  <c r="H58" i="121"/>
  <c r="N58" i="121" s="1"/>
  <c r="F266" i="121"/>
  <c r="H171" i="121"/>
  <c r="N171" i="121" s="1"/>
  <c r="F306" i="121"/>
  <c r="H211" i="121"/>
  <c r="N211" i="121" s="1"/>
  <c r="H122" i="121"/>
  <c r="N122" i="121" s="1"/>
  <c r="H129" i="121"/>
  <c r="N129" i="121" s="1"/>
  <c r="H132" i="121"/>
  <c r="N132" i="121" s="1"/>
  <c r="P143" i="121"/>
  <c r="O143" i="121"/>
  <c r="H163" i="121"/>
  <c r="N163" i="121" s="1"/>
  <c r="F258" i="121"/>
  <c r="G110" i="121"/>
  <c r="G205" i="121" s="1"/>
  <c r="G300" i="121" s="1"/>
  <c r="G395" i="121" s="1"/>
  <c r="G490" i="121" s="1"/>
  <c r="G585" i="121" s="1"/>
  <c r="G680" i="121" s="1"/>
  <c r="G115" i="121"/>
  <c r="G210" i="121" s="1"/>
  <c r="G305" i="121" s="1"/>
  <c r="G400" i="121" s="1"/>
  <c r="G495" i="121" s="1"/>
  <c r="G590" i="121" s="1"/>
  <c r="G685" i="121" s="1"/>
  <c r="N40" i="121"/>
  <c r="H148" i="121"/>
  <c r="N148" i="121" s="1"/>
  <c r="N61" i="121"/>
  <c r="P62" i="121"/>
  <c r="H63" i="121"/>
  <c r="N63" i="121" s="1"/>
  <c r="G158" i="121"/>
  <c r="G253" i="121" s="1"/>
  <c r="G348" i="121" s="1"/>
  <c r="G443" i="121" s="1"/>
  <c r="G538" i="121" s="1"/>
  <c r="G633" i="121" s="1"/>
  <c r="G728" i="121" s="1"/>
  <c r="G167" i="121"/>
  <c r="G262" i="121" s="1"/>
  <c r="G357" i="121" s="1"/>
  <c r="G452" i="121" s="1"/>
  <c r="G547" i="121" s="1"/>
  <c r="G642" i="121" s="1"/>
  <c r="G737" i="121" s="1"/>
  <c r="G170" i="121"/>
  <c r="G265" i="121" s="1"/>
  <c r="G360" i="121" s="1"/>
  <c r="G455" i="121" s="1"/>
  <c r="G550" i="121" s="1"/>
  <c r="G645" i="121" s="1"/>
  <c r="G740" i="121" s="1"/>
  <c r="G182" i="121"/>
  <c r="G277" i="121" s="1"/>
  <c r="G372" i="121" s="1"/>
  <c r="G467" i="121" s="1"/>
  <c r="G562" i="121" s="1"/>
  <c r="G657" i="121" s="1"/>
  <c r="G752" i="121" s="1"/>
  <c r="F183" i="121"/>
  <c r="G190" i="121"/>
  <c r="G285" i="121" s="1"/>
  <c r="G380" i="121" s="1"/>
  <c r="G475" i="121" s="1"/>
  <c r="G570" i="121" s="1"/>
  <c r="G665" i="121" s="1"/>
  <c r="G760" i="121" s="1"/>
  <c r="F191" i="121"/>
  <c r="I195" i="121"/>
  <c r="O117" i="121"/>
  <c r="P117" i="121" s="1"/>
  <c r="O140" i="121"/>
  <c r="P140" i="121" s="1"/>
  <c r="H144" i="121"/>
  <c r="N144" i="121" s="1"/>
  <c r="F239" i="121"/>
  <c r="H151" i="121"/>
  <c r="N151" i="121" s="1"/>
  <c r="P153" i="121"/>
  <c r="I290" i="121"/>
  <c r="O222" i="121"/>
  <c r="P222" i="121" s="1"/>
  <c r="O231" i="121"/>
  <c r="P231" i="121" s="1"/>
  <c r="F240" i="121"/>
  <c r="O307" i="121"/>
  <c r="P307" i="121"/>
  <c r="O325" i="121"/>
  <c r="P325" i="121"/>
  <c r="O335" i="121"/>
  <c r="P335" i="121" s="1"/>
  <c r="F113" i="121"/>
  <c r="F117" i="121"/>
  <c r="G121" i="121"/>
  <c r="G216" i="121" s="1"/>
  <c r="G311" i="121" s="1"/>
  <c r="G406" i="121" s="1"/>
  <c r="G501" i="121" s="1"/>
  <c r="G596" i="121" s="1"/>
  <c r="G691" i="121" s="1"/>
  <c r="G125" i="121"/>
  <c r="G220" i="121" s="1"/>
  <c r="G315" i="121" s="1"/>
  <c r="G410" i="121" s="1"/>
  <c r="G505" i="121" s="1"/>
  <c r="G600" i="121" s="1"/>
  <c r="G695" i="121" s="1"/>
  <c r="G129" i="121"/>
  <c r="G224" i="121" s="1"/>
  <c r="G319" i="121" s="1"/>
  <c r="G414" i="121" s="1"/>
  <c r="G509" i="121" s="1"/>
  <c r="G604" i="121" s="1"/>
  <c r="G699" i="121" s="1"/>
  <c r="F136" i="121"/>
  <c r="G140" i="121"/>
  <c r="G235" i="121" s="1"/>
  <c r="G330" i="121" s="1"/>
  <c r="G425" i="121" s="1"/>
  <c r="G520" i="121" s="1"/>
  <c r="G615" i="121" s="1"/>
  <c r="G710" i="121" s="1"/>
  <c r="F143" i="121"/>
  <c r="G147" i="121"/>
  <c r="G242" i="121" s="1"/>
  <c r="G337" i="121" s="1"/>
  <c r="G432" i="121" s="1"/>
  <c r="G527" i="121" s="1"/>
  <c r="G622" i="121" s="1"/>
  <c r="G717" i="121" s="1"/>
  <c r="G151" i="121"/>
  <c r="G246" i="121" s="1"/>
  <c r="G341" i="121" s="1"/>
  <c r="G436" i="121" s="1"/>
  <c r="G531" i="121" s="1"/>
  <c r="G626" i="121" s="1"/>
  <c r="G721" i="121" s="1"/>
  <c r="F158" i="121"/>
  <c r="F162" i="121"/>
  <c r="F166" i="121"/>
  <c r="F172" i="121"/>
  <c r="P217" i="121"/>
  <c r="O218" i="121"/>
  <c r="P218" i="121" s="1"/>
  <c r="O240" i="121"/>
  <c r="P240" i="121"/>
  <c r="P252" i="121"/>
  <c r="O314" i="121"/>
  <c r="P314" i="121" s="1"/>
  <c r="O347" i="121"/>
  <c r="P347" i="121"/>
  <c r="O420" i="121"/>
  <c r="P420" i="121" s="1"/>
  <c r="O450" i="121"/>
  <c r="P450" i="121" s="1"/>
  <c r="J480" i="121"/>
  <c r="M290" i="121"/>
  <c r="O200" i="121"/>
  <c r="P200" i="121" s="1"/>
  <c r="P230" i="121"/>
  <c r="O251" i="121"/>
  <c r="P251" i="121"/>
  <c r="O303" i="121"/>
  <c r="P303" i="121"/>
  <c r="O336" i="121"/>
  <c r="P336" i="121"/>
  <c r="O338" i="121"/>
  <c r="P338" i="121" s="1"/>
  <c r="O349" i="121"/>
  <c r="P349" i="121" s="1"/>
  <c r="P392" i="121"/>
  <c r="O402" i="121"/>
  <c r="P402" i="121" s="1"/>
  <c r="P413" i="121"/>
  <c r="O413" i="121"/>
  <c r="O431" i="121"/>
  <c r="P431" i="121"/>
  <c r="O584" i="121"/>
  <c r="P584" i="121" s="1"/>
  <c r="H18" i="121"/>
  <c r="N18" i="121" s="1"/>
  <c r="H22" i="121"/>
  <c r="N22" i="121" s="1"/>
  <c r="H41" i="121"/>
  <c r="N41" i="121" s="1"/>
  <c r="H48" i="121"/>
  <c r="N48" i="121" s="1"/>
  <c r="F182" i="121"/>
  <c r="F186" i="121"/>
  <c r="F190" i="121"/>
  <c r="F194" i="121"/>
  <c r="P124" i="121"/>
  <c r="P132" i="121"/>
  <c r="P154" i="121"/>
  <c r="O157" i="121"/>
  <c r="P157" i="121" s="1"/>
  <c r="P165" i="121"/>
  <c r="O202" i="121"/>
  <c r="O204" i="121"/>
  <c r="P204" i="121" s="1"/>
  <c r="P207" i="121"/>
  <c r="P242" i="121"/>
  <c r="O302" i="121"/>
  <c r="P302" i="121"/>
  <c r="O313" i="121"/>
  <c r="P313" i="121" s="1"/>
  <c r="O392" i="121"/>
  <c r="O397" i="121"/>
  <c r="P397" i="121"/>
  <c r="P408" i="121"/>
  <c r="O624" i="121"/>
  <c r="P624" i="121" s="1"/>
  <c r="O632" i="121"/>
  <c r="P632" i="121" s="1"/>
  <c r="P147" i="121"/>
  <c r="P166" i="121"/>
  <c r="O206" i="121"/>
  <c r="P206" i="121"/>
  <c r="O230" i="121"/>
  <c r="P233" i="121"/>
  <c r="O233" i="121"/>
  <c r="P234" i="121"/>
  <c r="O241" i="121"/>
  <c r="P241" i="121" s="1"/>
  <c r="O255" i="121"/>
  <c r="P255" i="121" s="1"/>
  <c r="P329" i="121"/>
  <c r="O330" i="121"/>
  <c r="P330" i="121" s="1"/>
  <c r="O333" i="121"/>
  <c r="P333" i="121" s="1"/>
  <c r="P346" i="121"/>
  <c r="O405" i="121"/>
  <c r="P405" i="121" s="1"/>
  <c r="O491" i="121"/>
  <c r="P491" i="121"/>
  <c r="O503" i="121"/>
  <c r="P503" i="121" s="1"/>
  <c r="O531" i="121"/>
  <c r="P531" i="121"/>
  <c r="O590" i="121"/>
  <c r="P590" i="121"/>
  <c r="O606" i="121"/>
  <c r="P606" i="121" s="1"/>
  <c r="O295" i="121"/>
  <c r="P295" i="121" s="1"/>
  <c r="M385" i="121"/>
  <c r="O412" i="121"/>
  <c r="P412" i="121" s="1"/>
  <c r="P428" i="121"/>
  <c r="O434" i="121"/>
  <c r="P434" i="121" s="1"/>
  <c r="P451" i="121"/>
  <c r="P530" i="121"/>
  <c r="O530" i="121"/>
  <c r="O306" i="121"/>
  <c r="P306" i="121"/>
  <c r="J385" i="121"/>
  <c r="O451" i="121"/>
  <c r="O492" i="121"/>
  <c r="P492" i="121" s="1"/>
  <c r="P494" i="121"/>
  <c r="O494" i="121"/>
  <c r="O497" i="121"/>
  <c r="P497" i="121" s="1"/>
  <c r="O736" i="121"/>
  <c r="P736" i="121" s="1"/>
  <c r="P340" i="121"/>
  <c r="P341" i="121"/>
  <c r="P351" i="121"/>
  <c r="P352" i="121"/>
  <c r="I480" i="121"/>
  <c r="O409" i="121"/>
  <c r="P409" i="121" s="1"/>
  <c r="O421" i="121"/>
  <c r="P421" i="121" s="1"/>
  <c r="P440" i="121"/>
  <c r="I575" i="121"/>
  <c r="O507" i="121"/>
  <c r="P507" i="121" s="1"/>
  <c r="O511" i="121"/>
  <c r="P511" i="121" s="1"/>
  <c r="P519" i="121"/>
  <c r="O546" i="121"/>
  <c r="P546" i="121"/>
  <c r="O340" i="121"/>
  <c r="O351" i="121"/>
  <c r="O390" i="121"/>
  <c r="P390" i="121" s="1"/>
  <c r="M480" i="121"/>
  <c r="P398" i="121"/>
  <c r="P401" i="121"/>
  <c r="O417" i="121"/>
  <c r="P417" i="121" s="1"/>
  <c r="O424" i="121"/>
  <c r="P424" i="121" s="1"/>
  <c r="P426" i="121"/>
  <c r="O440" i="121"/>
  <c r="O495" i="121"/>
  <c r="P495" i="121"/>
  <c r="O528" i="121"/>
  <c r="P528" i="121" s="1"/>
  <c r="O604" i="121"/>
  <c r="P604" i="121" s="1"/>
  <c r="O445" i="121"/>
  <c r="P445" i="121" s="1"/>
  <c r="O496" i="121"/>
  <c r="P496" i="121" s="1"/>
  <c r="O506" i="121"/>
  <c r="P506" i="121"/>
  <c r="O508" i="121"/>
  <c r="P508" i="121" s="1"/>
  <c r="P516" i="121"/>
  <c r="O518" i="121"/>
  <c r="P518" i="121" s="1"/>
  <c r="O593" i="121"/>
  <c r="P593" i="121" s="1"/>
  <c r="P598" i="121"/>
  <c r="O598" i="121"/>
  <c r="O613" i="121"/>
  <c r="P613" i="121" s="1"/>
  <c r="P722" i="121"/>
  <c r="O437" i="121"/>
  <c r="P437" i="121" s="1"/>
  <c r="P448" i="121"/>
  <c r="O545" i="121"/>
  <c r="P545" i="121" s="1"/>
  <c r="O722" i="121"/>
  <c r="O442" i="121"/>
  <c r="P442" i="121"/>
  <c r="J575" i="121"/>
  <c r="M486" i="121"/>
  <c r="O515" i="121"/>
  <c r="P515" i="121" s="1"/>
  <c r="O520" i="121"/>
  <c r="P520" i="121" s="1"/>
  <c r="O529" i="121"/>
  <c r="P529" i="121" s="1"/>
  <c r="O630" i="121"/>
  <c r="P630" i="121"/>
  <c r="O687" i="121"/>
  <c r="P687" i="121"/>
  <c r="O696" i="121"/>
  <c r="P696" i="121" s="1"/>
  <c r="P493" i="121"/>
  <c r="O505" i="121"/>
  <c r="P505" i="121" s="1"/>
  <c r="O596" i="121"/>
  <c r="P596" i="121"/>
  <c r="O620" i="121"/>
  <c r="P620" i="121"/>
  <c r="O628" i="121"/>
  <c r="P628" i="121" s="1"/>
  <c r="O695" i="121"/>
  <c r="P695" i="121" s="1"/>
  <c r="O714" i="121"/>
  <c r="P714" i="121" s="1"/>
  <c r="P443" i="121"/>
  <c r="O499" i="121"/>
  <c r="P499" i="121" s="1"/>
  <c r="O543" i="121"/>
  <c r="P543" i="121" s="1"/>
  <c r="O544" i="121"/>
  <c r="P544" i="121"/>
  <c r="P587" i="121"/>
  <c r="O599" i="121"/>
  <c r="P599" i="121" s="1"/>
  <c r="O626" i="121"/>
  <c r="P626" i="121" s="1"/>
  <c r="O677" i="121"/>
  <c r="P677" i="121" s="1"/>
  <c r="O685" i="121"/>
  <c r="P685" i="121" s="1"/>
  <c r="O706" i="121"/>
  <c r="P706" i="121"/>
  <c r="O733" i="121"/>
  <c r="P733" i="121" s="1"/>
  <c r="O488" i="121"/>
  <c r="P488" i="121" s="1"/>
  <c r="P489" i="121"/>
  <c r="O522" i="121"/>
  <c r="P522" i="121" s="1"/>
  <c r="P533" i="121"/>
  <c r="O533" i="121"/>
  <c r="O597" i="121"/>
  <c r="P597" i="121" s="1"/>
  <c r="O607" i="121"/>
  <c r="P607" i="121"/>
  <c r="O609" i="121"/>
  <c r="P609" i="121" s="1"/>
  <c r="O681" i="121"/>
  <c r="P681" i="121" s="1"/>
  <c r="O715" i="121"/>
  <c r="P715" i="121" s="1"/>
  <c r="O435" i="121"/>
  <c r="P435" i="121" s="1"/>
  <c r="P446" i="121"/>
  <c r="O446" i="121"/>
  <c r="O541" i="121"/>
  <c r="P541" i="121" s="1"/>
  <c r="P582" i="121"/>
  <c r="P589" i="121"/>
  <c r="O595" i="121"/>
  <c r="P595" i="121" s="1"/>
  <c r="P603" i="121"/>
  <c r="O631" i="121"/>
  <c r="P631" i="121" s="1"/>
  <c r="O704" i="121"/>
  <c r="P704" i="121" s="1"/>
  <c r="O489" i="121"/>
  <c r="P526" i="121"/>
  <c r="O537" i="121"/>
  <c r="P537" i="121" s="1"/>
  <c r="P540" i="121"/>
  <c r="M581" i="121"/>
  <c r="J670" i="121"/>
  <c r="O585" i="121"/>
  <c r="P585" i="121" s="1"/>
  <c r="O594" i="121"/>
  <c r="P594" i="121" s="1"/>
  <c r="O617" i="121"/>
  <c r="P617" i="121" s="1"/>
  <c r="P629" i="121"/>
  <c r="O629" i="121"/>
  <c r="O635" i="121"/>
  <c r="P635" i="121" s="1"/>
  <c r="O678" i="121"/>
  <c r="P678" i="121" s="1"/>
  <c r="O694" i="121"/>
  <c r="P694" i="121" s="1"/>
  <c r="P721" i="121"/>
  <c r="O721" i="121"/>
  <c r="I670" i="121"/>
  <c r="P605" i="121"/>
  <c r="O717" i="121"/>
  <c r="P717" i="121" s="1"/>
  <c r="P615" i="121"/>
  <c r="O686" i="121"/>
  <c r="P686" i="121" s="1"/>
  <c r="O732" i="121"/>
  <c r="P732" i="121" s="1"/>
  <c r="M670" i="121"/>
  <c r="M765" i="121"/>
  <c r="O580" i="121"/>
  <c r="P580" i="121" s="1"/>
  <c r="O698" i="121"/>
  <c r="P698" i="121" s="1"/>
  <c r="P705" i="121"/>
  <c r="O713" i="121"/>
  <c r="P713" i="121"/>
  <c r="P601" i="121"/>
  <c r="O638" i="121"/>
  <c r="P638" i="121" s="1"/>
  <c r="O718" i="121"/>
  <c r="P718" i="121" s="1"/>
  <c r="P591" i="121"/>
  <c r="O601" i="121"/>
  <c r="O639" i="121"/>
  <c r="P639" i="121" s="1"/>
  <c r="O680" i="121"/>
  <c r="P680" i="121"/>
  <c r="O697" i="121"/>
  <c r="P697" i="121" s="1"/>
  <c r="P602" i="121"/>
  <c r="O602" i="121"/>
  <c r="J765" i="121"/>
  <c r="O690" i="121"/>
  <c r="P690" i="121" s="1"/>
  <c r="O728" i="121"/>
  <c r="P728" i="121" s="1"/>
  <c r="O735" i="121"/>
  <c r="P735" i="121"/>
  <c r="O709" i="121"/>
  <c r="P709" i="121" s="1"/>
  <c r="I765" i="121"/>
  <c r="O691" i="121"/>
  <c r="P691" i="121" s="1"/>
  <c r="O699" i="121"/>
  <c r="P699" i="121" s="1"/>
  <c r="P702" i="121"/>
  <c r="O710" i="121"/>
  <c r="P710" i="121" s="1"/>
  <c r="P725" i="121"/>
  <c r="P729" i="121"/>
  <c r="O731" i="121"/>
  <c r="P731" i="121"/>
  <c r="F29" i="120" l="1"/>
  <c r="K28" i="120"/>
  <c r="K64" i="120"/>
  <c r="F65" i="120"/>
  <c r="K65" i="120" s="1"/>
  <c r="K56" i="120"/>
  <c r="F57" i="120"/>
  <c r="K20" i="120"/>
  <c r="F21" i="120"/>
  <c r="F14" i="120"/>
  <c r="K14" i="120" s="1"/>
  <c r="K13" i="120"/>
  <c r="K46" i="120"/>
  <c r="F47" i="120"/>
  <c r="F317" i="121"/>
  <c r="H222" i="121"/>
  <c r="N222" i="121" s="1"/>
  <c r="N10" i="121"/>
  <c r="N100" i="121" s="1"/>
  <c r="H100" i="121"/>
  <c r="F343" i="121"/>
  <c r="H248" i="121"/>
  <c r="N248" i="121" s="1"/>
  <c r="H280" i="121"/>
  <c r="N280" i="121" s="1"/>
  <c r="F375" i="121"/>
  <c r="H282" i="121"/>
  <c r="N282" i="121" s="1"/>
  <c r="F377" i="121"/>
  <c r="F283" i="121"/>
  <c r="H188" i="121"/>
  <c r="N188" i="121" s="1"/>
  <c r="H312" i="121"/>
  <c r="N312" i="121" s="1"/>
  <c r="F407" i="121"/>
  <c r="H150" i="121"/>
  <c r="N150" i="121" s="1"/>
  <c r="F354" i="121"/>
  <c r="H259" i="121"/>
  <c r="N259" i="121" s="1"/>
  <c r="F297" i="121"/>
  <c r="H202" i="121"/>
  <c r="N202" i="121" s="1"/>
  <c r="O486" i="121"/>
  <c r="P486" i="121" s="1"/>
  <c r="F289" i="121"/>
  <c r="H194" i="121"/>
  <c r="N194" i="121" s="1"/>
  <c r="H172" i="121"/>
  <c r="N172" i="121" s="1"/>
  <c r="F267" i="121"/>
  <c r="F383" i="121"/>
  <c r="H288" i="121"/>
  <c r="N288" i="121" s="1"/>
  <c r="F233" i="121"/>
  <c r="H138" i="121"/>
  <c r="N138" i="121" s="1"/>
  <c r="F336" i="121"/>
  <c r="H241" i="121"/>
  <c r="N241" i="121" s="1"/>
  <c r="H268" i="121"/>
  <c r="N268" i="121" s="1"/>
  <c r="F363" i="121"/>
  <c r="H338" i="121"/>
  <c r="N338" i="121" s="1"/>
  <c r="F433" i="121"/>
  <c r="H218" i="121"/>
  <c r="N218" i="121" s="1"/>
  <c r="F261" i="121"/>
  <c r="H166" i="121"/>
  <c r="N166" i="121" s="1"/>
  <c r="H258" i="121"/>
  <c r="N258" i="121" s="1"/>
  <c r="F353" i="121"/>
  <c r="H224" i="121"/>
  <c r="N224" i="121" s="1"/>
  <c r="F310" i="121"/>
  <c r="H215" i="121"/>
  <c r="N215" i="121" s="1"/>
  <c r="F364" i="121"/>
  <c r="H269" i="121"/>
  <c r="N269" i="121" s="1"/>
  <c r="F365" i="121"/>
  <c r="H270" i="121"/>
  <c r="N270" i="121" s="1"/>
  <c r="F342" i="121"/>
  <c r="H247" i="121"/>
  <c r="N247" i="121" s="1"/>
  <c r="H170" i="121"/>
  <c r="N170" i="121" s="1"/>
  <c r="H186" i="121"/>
  <c r="N186" i="121" s="1"/>
  <c r="F281" i="121"/>
  <c r="H162" i="121"/>
  <c r="N162" i="121" s="1"/>
  <c r="F257" i="121"/>
  <c r="H319" i="121"/>
  <c r="N319" i="121" s="1"/>
  <c r="F414" i="121"/>
  <c r="H156" i="121"/>
  <c r="N156" i="121" s="1"/>
  <c r="F251" i="121"/>
  <c r="F409" i="121"/>
  <c r="H314" i="121"/>
  <c r="N314" i="121" s="1"/>
  <c r="H137" i="121"/>
  <c r="N137" i="121" s="1"/>
  <c r="F351" i="121"/>
  <c r="H256" i="121"/>
  <c r="N256" i="121" s="1"/>
  <c r="H160" i="121"/>
  <c r="N160" i="121" s="1"/>
  <c r="H119" i="121"/>
  <c r="N119" i="121" s="1"/>
  <c r="F360" i="121"/>
  <c r="H265" i="121"/>
  <c r="N265" i="121" s="1"/>
  <c r="H182" i="121"/>
  <c r="N182" i="121" s="1"/>
  <c r="F277" i="121"/>
  <c r="F253" i="121"/>
  <c r="H158" i="121"/>
  <c r="N158" i="121" s="1"/>
  <c r="H191" i="121"/>
  <c r="N191" i="121" s="1"/>
  <c r="F286" i="121"/>
  <c r="H149" i="121"/>
  <c r="N149" i="121" s="1"/>
  <c r="F337" i="121"/>
  <c r="H242" i="121"/>
  <c r="N242" i="121" s="1"/>
  <c r="H227" i="121"/>
  <c r="N227" i="121" s="1"/>
  <c r="H167" i="121"/>
  <c r="N167" i="121" s="1"/>
  <c r="F262" i="121"/>
  <c r="F323" i="121"/>
  <c r="H228" i="121"/>
  <c r="N228" i="121" s="1"/>
  <c r="M195" i="121"/>
  <c r="O105" i="121"/>
  <c r="P105" i="121"/>
  <c r="F302" i="121"/>
  <c r="H207" i="121"/>
  <c r="N207" i="121" s="1"/>
  <c r="M575" i="121"/>
  <c r="H260" i="121"/>
  <c r="N260" i="121" s="1"/>
  <c r="G581" i="121"/>
  <c r="G676" i="121" s="1"/>
  <c r="F359" i="121"/>
  <c r="H264" i="121"/>
  <c r="N264" i="121" s="1"/>
  <c r="F350" i="121"/>
  <c r="H255" i="121"/>
  <c r="N255" i="121" s="1"/>
  <c r="H301" i="121"/>
  <c r="N301" i="121" s="1"/>
  <c r="F396" i="121"/>
  <c r="H368" i="121"/>
  <c r="N368" i="121" s="1"/>
  <c r="F463" i="121"/>
  <c r="H106" i="121"/>
  <c r="N106" i="121" s="1"/>
  <c r="H214" i="121"/>
  <c r="N214" i="121" s="1"/>
  <c r="F309" i="121"/>
  <c r="H230" i="121"/>
  <c r="N230" i="121" s="1"/>
  <c r="F325" i="121"/>
  <c r="F208" i="121"/>
  <c r="H113" i="121"/>
  <c r="N113" i="121" s="1"/>
  <c r="F278" i="121"/>
  <c r="H183" i="121"/>
  <c r="N183" i="121" s="1"/>
  <c r="H109" i="121"/>
  <c r="N109" i="121" s="1"/>
  <c r="F204" i="121"/>
  <c r="H442" i="121"/>
  <c r="N442" i="121" s="1"/>
  <c r="M100" i="121"/>
  <c r="O10" i="121"/>
  <c r="P10" i="121" s="1"/>
  <c r="F439" i="121"/>
  <c r="H344" i="121"/>
  <c r="N344" i="121" s="1"/>
  <c r="F238" i="121"/>
  <c r="H143" i="121"/>
  <c r="N143" i="121" s="1"/>
  <c r="F503" i="121"/>
  <c r="H408" i="121"/>
  <c r="N408" i="121" s="1"/>
  <c r="F340" i="121"/>
  <c r="H245" i="121"/>
  <c r="N245" i="121" s="1"/>
  <c r="F632" i="121"/>
  <c r="H537" i="121"/>
  <c r="N537" i="121" s="1"/>
  <c r="F200" i="121"/>
  <c r="F195" i="121"/>
  <c r="F358" i="121"/>
  <c r="H263" i="121"/>
  <c r="N263" i="121" s="1"/>
  <c r="F434" i="121"/>
  <c r="H339" i="121"/>
  <c r="N339" i="121" s="1"/>
  <c r="H330" i="121"/>
  <c r="N330" i="121" s="1"/>
  <c r="F425" i="121"/>
  <c r="H192" i="121"/>
  <c r="N192" i="121" s="1"/>
  <c r="F287" i="121"/>
  <c r="F320" i="121"/>
  <c r="H225" i="121"/>
  <c r="N225" i="121" s="1"/>
  <c r="F284" i="121"/>
  <c r="H189" i="121"/>
  <c r="N189" i="121" s="1"/>
  <c r="H140" i="121"/>
  <c r="N140" i="121" s="1"/>
  <c r="F370" i="121"/>
  <c r="H275" i="121"/>
  <c r="N275" i="121" s="1"/>
  <c r="H244" i="121"/>
  <c r="N244" i="121" s="1"/>
  <c r="H136" i="121"/>
  <c r="N136" i="121" s="1"/>
  <c r="F231" i="121"/>
  <c r="H347" i="121"/>
  <c r="N347" i="121" s="1"/>
  <c r="H115" i="121"/>
  <c r="N115" i="121" s="1"/>
  <c r="F210" i="121"/>
  <c r="F236" i="121"/>
  <c r="H141" i="121"/>
  <c r="N141" i="121" s="1"/>
  <c r="H120" i="121"/>
  <c r="N120" i="121" s="1"/>
  <c r="F237" i="121"/>
  <c r="H142" i="121"/>
  <c r="N142" i="121" s="1"/>
  <c r="F419" i="121"/>
  <c r="H324" i="121"/>
  <c r="N324" i="121" s="1"/>
  <c r="H190" i="121"/>
  <c r="N190" i="121" s="1"/>
  <c r="F285" i="121"/>
  <c r="F279" i="121"/>
  <c r="H184" i="121"/>
  <c r="N184" i="121" s="1"/>
  <c r="F315" i="121"/>
  <c r="H220" i="121"/>
  <c r="N220" i="121" s="1"/>
  <c r="H110" i="121"/>
  <c r="N110" i="121" s="1"/>
  <c r="F205" i="121"/>
  <c r="F316" i="121"/>
  <c r="H221" i="121"/>
  <c r="N221" i="121" s="1"/>
  <c r="H311" i="121"/>
  <c r="N311" i="121" s="1"/>
  <c r="F406" i="121"/>
  <c r="F369" i="121"/>
  <c r="H274" i="121"/>
  <c r="N274" i="121" s="1"/>
  <c r="H139" i="121"/>
  <c r="N139" i="121" s="1"/>
  <c r="F234" i="121"/>
  <c r="H114" i="121"/>
  <c r="N114" i="121" s="1"/>
  <c r="F209" i="121"/>
  <c r="H327" i="121"/>
  <c r="N327" i="121" s="1"/>
  <c r="F422" i="121"/>
  <c r="H201" i="121"/>
  <c r="N201" i="121" s="1"/>
  <c r="F296" i="121"/>
  <c r="F401" i="121"/>
  <c r="H306" i="121"/>
  <c r="N306" i="121" s="1"/>
  <c r="H147" i="121"/>
  <c r="N147" i="121" s="1"/>
  <c r="F367" i="121"/>
  <c r="H272" i="121"/>
  <c r="N272" i="121" s="1"/>
  <c r="H174" i="121"/>
  <c r="N174" i="121" s="1"/>
  <c r="F276" i="121"/>
  <c r="H181" i="121"/>
  <c r="N181" i="121" s="1"/>
  <c r="F203" i="121"/>
  <c r="H108" i="121"/>
  <c r="N108" i="121" s="1"/>
  <c r="F511" i="121"/>
  <c r="F366" i="121"/>
  <c r="H271" i="121"/>
  <c r="N271" i="121" s="1"/>
  <c r="H135" i="121"/>
  <c r="N135" i="121" s="1"/>
  <c r="O581" i="121"/>
  <c r="P581" i="121" s="1"/>
  <c r="F212" i="121"/>
  <c r="H117" i="121"/>
  <c r="N117" i="121" s="1"/>
  <c r="F335" i="121"/>
  <c r="H240" i="121"/>
  <c r="N240" i="121" s="1"/>
  <c r="F334" i="121"/>
  <c r="H239" i="121"/>
  <c r="N239" i="121" s="1"/>
  <c r="F361" i="121"/>
  <c r="H266" i="121"/>
  <c r="N266" i="121" s="1"/>
  <c r="H193" i="121"/>
  <c r="N193" i="121" s="1"/>
  <c r="F417" i="121"/>
  <c r="H322" i="121"/>
  <c r="N322" i="121" s="1"/>
  <c r="H159" i="121"/>
  <c r="N159" i="121" s="1"/>
  <c r="F254" i="121"/>
  <c r="F308" i="121"/>
  <c r="H213" i="121"/>
  <c r="N213" i="121" s="1"/>
  <c r="H185" i="121"/>
  <c r="N185" i="121" s="1"/>
  <c r="F450" i="121"/>
  <c r="H355" i="121"/>
  <c r="N355" i="121" s="1"/>
  <c r="G105" i="121"/>
  <c r="H105" i="121" s="1"/>
  <c r="F341" i="121"/>
  <c r="H246" i="121"/>
  <c r="N246" i="121" s="1"/>
  <c r="H187" i="121"/>
  <c r="N187" i="121" s="1"/>
  <c r="F318" i="121"/>
  <c r="H223" i="121"/>
  <c r="N223" i="121" s="1"/>
  <c r="H155" i="121"/>
  <c r="N155" i="121" s="1"/>
  <c r="F250" i="121"/>
  <c r="G226" i="121"/>
  <c r="H131" i="121"/>
  <c r="N131" i="121" s="1"/>
  <c r="H165" i="121"/>
  <c r="N165" i="121" s="1"/>
  <c r="H249" i="121"/>
  <c r="N249" i="121" s="1"/>
  <c r="B2" i="67"/>
  <c r="F22" i="120" l="1"/>
  <c r="K21" i="120"/>
  <c r="F58" i="120"/>
  <c r="K57" i="120"/>
  <c r="K29" i="120"/>
  <c r="F30" i="120"/>
  <c r="K47" i="120"/>
  <c r="F48" i="120"/>
  <c r="K48" i="120" s="1"/>
  <c r="H195" i="121"/>
  <c r="N105" i="121"/>
  <c r="N195" i="121" s="1"/>
  <c r="H208" i="121"/>
  <c r="N208" i="121" s="1"/>
  <c r="F303" i="121"/>
  <c r="F491" i="121"/>
  <c r="H396" i="121"/>
  <c r="N396" i="121" s="1"/>
  <c r="F357" i="121"/>
  <c r="H262" i="121"/>
  <c r="N262" i="121" s="1"/>
  <c r="H308" i="121"/>
  <c r="N308" i="121" s="1"/>
  <c r="F403" i="121"/>
  <c r="H276" i="121"/>
  <c r="N276" i="121" s="1"/>
  <c r="F371" i="121"/>
  <c r="H369" i="121"/>
  <c r="N369" i="121" s="1"/>
  <c r="F464" i="121"/>
  <c r="H315" i="121"/>
  <c r="N315" i="121" s="1"/>
  <c r="F410" i="121"/>
  <c r="F332" i="121"/>
  <c r="H237" i="121"/>
  <c r="N237" i="121" s="1"/>
  <c r="H320" i="121"/>
  <c r="N320" i="121" s="1"/>
  <c r="F415" i="121"/>
  <c r="F453" i="121"/>
  <c r="H358" i="121"/>
  <c r="N358" i="121" s="1"/>
  <c r="F420" i="121"/>
  <c r="H325" i="121"/>
  <c r="N325" i="121" s="1"/>
  <c r="H253" i="121"/>
  <c r="N253" i="121" s="1"/>
  <c r="F348" i="121"/>
  <c r="F446" i="121"/>
  <c r="H351" i="121"/>
  <c r="N351" i="121" s="1"/>
  <c r="F352" i="121"/>
  <c r="H257" i="121"/>
  <c r="N257" i="121" s="1"/>
  <c r="F460" i="121"/>
  <c r="H365" i="121"/>
  <c r="N365" i="121" s="1"/>
  <c r="F431" i="121"/>
  <c r="H336" i="121"/>
  <c r="N336" i="121" s="1"/>
  <c r="F384" i="121"/>
  <c r="H289" i="121"/>
  <c r="N289" i="121" s="1"/>
  <c r="F502" i="121"/>
  <c r="H407" i="121"/>
  <c r="N407" i="121" s="1"/>
  <c r="F349" i="121"/>
  <c r="H254" i="121"/>
  <c r="N254" i="121" s="1"/>
  <c r="H334" i="121"/>
  <c r="N334" i="121" s="1"/>
  <c r="F429" i="121"/>
  <c r="F517" i="121"/>
  <c r="H422" i="121"/>
  <c r="N422" i="121" s="1"/>
  <c r="H406" i="121"/>
  <c r="N406" i="121" s="1"/>
  <c r="F501" i="121"/>
  <c r="F382" i="121"/>
  <c r="H287" i="121"/>
  <c r="N287" i="121" s="1"/>
  <c r="F598" i="121"/>
  <c r="H503" i="121"/>
  <c r="N503" i="121" s="1"/>
  <c r="H302" i="121"/>
  <c r="N302" i="121" s="1"/>
  <c r="F397" i="121"/>
  <c r="F372" i="121"/>
  <c r="H277" i="121"/>
  <c r="N277" i="121" s="1"/>
  <c r="F356" i="121"/>
  <c r="H261" i="121"/>
  <c r="N261" i="121" s="1"/>
  <c r="H343" i="121"/>
  <c r="N343" i="121" s="1"/>
  <c r="F438" i="121"/>
  <c r="F298" i="121"/>
  <c r="H203" i="121"/>
  <c r="N203" i="121" s="1"/>
  <c r="F496" i="121"/>
  <c r="H401" i="121"/>
  <c r="N401" i="121" s="1"/>
  <c r="F514" i="121"/>
  <c r="H419" i="121"/>
  <c r="N419" i="121" s="1"/>
  <c r="F379" i="121"/>
  <c r="H284" i="121"/>
  <c r="N284" i="121" s="1"/>
  <c r="H414" i="121"/>
  <c r="N414" i="121" s="1"/>
  <c r="F509" i="121"/>
  <c r="F448" i="121"/>
  <c r="H353" i="121"/>
  <c r="N353" i="121" s="1"/>
  <c r="F470" i="121"/>
  <c r="H375" i="121"/>
  <c r="N375" i="121" s="1"/>
  <c r="F413" i="121"/>
  <c r="H318" i="121"/>
  <c r="N318" i="121" s="1"/>
  <c r="F391" i="121"/>
  <c r="H296" i="121"/>
  <c r="N296" i="121" s="1"/>
  <c r="F436" i="121"/>
  <c r="H341" i="121"/>
  <c r="N341" i="121" s="1"/>
  <c r="G321" i="121"/>
  <c r="H226" i="121"/>
  <c r="N226" i="121" s="1"/>
  <c r="F529" i="121"/>
  <c r="H434" i="121"/>
  <c r="N434" i="121" s="1"/>
  <c r="F418" i="121"/>
  <c r="H323" i="121"/>
  <c r="N323" i="121" s="1"/>
  <c r="F437" i="121"/>
  <c r="H342" i="121"/>
  <c r="N342" i="121" s="1"/>
  <c r="H354" i="121"/>
  <c r="N354" i="121" s="1"/>
  <c r="F449" i="121"/>
  <c r="F456" i="121"/>
  <c r="H361" i="121"/>
  <c r="N361" i="121" s="1"/>
  <c r="H231" i="121"/>
  <c r="N231" i="121" s="1"/>
  <c r="F326" i="121"/>
  <c r="F435" i="121"/>
  <c r="H340" i="121"/>
  <c r="N340" i="121" s="1"/>
  <c r="F461" i="121"/>
  <c r="H366" i="121"/>
  <c r="N366" i="121" s="1"/>
  <c r="F374" i="121"/>
  <c r="H279" i="121"/>
  <c r="N279" i="121" s="1"/>
  <c r="H204" i="121"/>
  <c r="N204" i="121" s="1"/>
  <c r="F299" i="121"/>
  <c r="F404" i="121"/>
  <c r="H309" i="121"/>
  <c r="N309" i="121" s="1"/>
  <c r="F445" i="121"/>
  <c r="H350" i="121"/>
  <c r="N350" i="121" s="1"/>
  <c r="H281" i="121"/>
  <c r="N281" i="121" s="1"/>
  <c r="F376" i="121"/>
  <c r="F459" i="121"/>
  <c r="H364" i="121"/>
  <c r="N364" i="121" s="1"/>
  <c r="H233" i="121"/>
  <c r="N233" i="121" s="1"/>
  <c r="F328" i="121"/>
  <c r="G200" i="121"/>
  <c r="G195" i="121"/>
  <c r="F430" i="121"/>
  <c r="H335" i="121"/>
  <c r="N335" i="121" s="1"/>
  <c r="H367" i="121"/>
  <c r="N367" i="121" s="1"/>
  <c r="F462" i="121"/>
  <c r="H209" i="121"/>
  <c r="N209" i="121" s="1"/>
  <c r="F304" i="121"/>
  <c r="F380" i="121"/>
  <c r="H285" i="121"/>
  <c r="N285" i="121" s="1"/>
  <c r="F331" i="121"/>
  <c r="H236" i="121"/>
  <c r="N236" i="121" s="1"/>
  <c r="F465" i="121"/>
  <c r="H370" i="121"/>
  <c r="N370" i="121" s="1"/>
  <c r="H425" i="121"/>
  <c r="N425" i="121" s="1"/>
  <c r="F520" i="121"/>
  <c r="F290" i="121"/>
  <c r="F295" i="121"/>
  <c r="H238" i="121"/>
  <c r="N238" i="121" s="1"/>
  <c r="F333" i="121"/>
  <c r="H337" i="121"/>
  <c r="N337" i="121" s="1"/>
  <c r="F432" i="121"/>
  <c r="F504" i="121"/>
  <c r="H409" i="121"/>
  <c r="N409" i="121" s="1"/>
  <c r="H433" i="121"/>
  <c r="N433" i="121" s="1"/>
  <c r="F528" i="121"/>
  <c r="F378" i="121"/>
  <c r="H283" i="121"/>
  <c r="N283" i="121" s="1"/>
  <c r="F345" i="121"/>
  <c r="H250" i="121"/>
  <c r="N250" i="121" s="1"/>
  <c r="F512" i="121"/>
  <c r="H417" i="121"/>
  <c r="N417" i="121" s="1"/>
  <c r="F606" i="121"/>
  <c r="H316" i="121"/>
  <c r="N316" i="121" s="1"/>
  <c r="F411" i="121"/>
  <c r="F305" i="121"/>
  <c r="H210" i="121"/>
  <c r="N210" i="121" s="1"/>
  <c r="F454" i="121"/>
  <c r="H359" i="121"/>
  <c r="N359" i="121" s="1"/>
  <c r="F455" i="121"/>
  <c r="H360" i="121"/>
  <c r="N360" i="121" s="1"/>
  <c r="F346" i="121"/>
  <c r="H251" i="121"/>
  <c r="N251" i="121" s="1"/>
  <c r="F405" i="121"/>
  <c r="H310" i="121"/>
  <c r="N310" i="121" s="1"/>
  <c r="F478" i="121"/>
  <c r="H383" i="121"/>
  <c r="N383" i="121" s="1"/>
  <c r="H297" i="121"/>
  <c r="N297" i="121" s="1"/>
  <c r="F392" i="121"/>
  <c r="F472" i="121"/>
  <c r="H377" i="121"/>
  <c r="N377" i="121" s="1"/>
  <c r="H450" i="121"/>
  <c r="N450" i="121" s="1"/>
  <c r="F545" i="121"/>
  <c r="H212" i="121"/>
  <c r="N212" i="121" s="1"/>
  <c r="F307" i="121"/>
  <c r="F329" i="121"/>
  <c r="H234" i="121"/>
  <c r="N234" i="121" s="1"/>
  <c r="F300" i="121"/>
  <c r="H205" i="121"/>
  <c r="N205" i="121" s="1"/>
  <c r="F727" i="121"/>
  <c r="H727" i="121" s="1"/>
  <c r="N727" i="121" s="1"/>
  <c r="H632" i="121"/>
  <c r="N632" i="121" s="1"/>
  <c r="H439" i="121"/>
  <c r="N439" i="121" s="1"/>
  <c r="F534" i="121"/>
  <c r="F373" i="121"/>
  <c r="H278" i="121"/>
  <c r="N278" i="121" s="1"/>
  <c r="F558" i="121"/>
  <c r="H463" i="121"/>
  <c r="N463" i="121" s="1"/>
  <c r="F381" i="121"/>
  <c r="H286" i="121"/>
  <c r="N286" i="121" s="1"/>
  <c r="F458" i="121"/>
  <c r="H363" i="121"/>
  <c r="N363" i="121" s="1"/>
  <c r="F362" i="121"/>
  <c r="H267" i="121"/>
  <c r="N267" i="121" s="1"/>
  <c r="F412" i="121"/>
  <c r="H317" i="121"/>
  <c r="N317" i="121" s="1"/>
  <c r="S10" i="93"/>
  <c r="R10" i="93"/>
  <c r="Q10" i="93"/>
  <c r="P10" i="93"/>
  <c r="O10" i="93"/>
  <c r="M10" i="93"/>
  <c r="F59" i="120" l="1"/>
  <c r="K58" i="120"/>
  <c r="K30" i="120"/>
  <c r="F31" i="120"/>
  <c r="F23" i="120"/>
  <c r="K23" i="120" s="1"/>
  <c r="K22" i="120"/>
  <c r="F515" i="121"/>
  <c r="H420" i="121"/>
  <c r="N420" i="121" s="1"/>
  <c r="H504" i="121"/>
  <c r="N504" i="121" s="1"/>
  <c r="F599" i="121"/>
  <c r="F532" i="121"/>
  <c r="H437" i="121"/>
  <c r="N437" i="121" s="1"/>
  <c r="H453" i="121"/>
  <c r="N453" i="121" s="1"/>
  <c r="F548" i="121"/>
  <c r="F506" i="121"/>
  <c r="H411" i="121"/>
  <c r="N411" i="121" s="1"/>
  <c r="H418" i="121"/>
  <c r="N418" i="121" s="1"/>
  <c r="F513" i="121"/>
  <c r="F486" i="121"/>
  <c r="H391" i="121"/>
  <c r="N391" i="121" s="1"/>
  <c r="F393" i="121"/>
  <c r="H298" i="121"/>
  <c r="N298" i="121" s="1"/>
  <c r="F612" i="121"/>
  <c r="H517" i="121"/>
  <c r="N517" i="121" s="1"/>
  <c r="F479" i="121"/>
  <c r="H384" i="121"/>
  <c r="N384" i="121" s="1"/>
  <c r="F541" i="121"/>
  <c r="H446" i="121"/>
  <c r="N446" i="121" s="1"/>
  <c r="F468" i="121"/>
  <c r="H373" i="121"/>
  <c r="N373" i="121" s="1"/>
  <c r="F424" i="121"/>
  <c r="H329" i="121"/>
  <c r="N329" i="121" s="1"/>
  <c r="F550" i="121"/>
  <c r="H455" i="121"/>
  <c r="N455" i="121" s="1"/>
  <c r="F701" i="121"/>
  <c r="F385" i="121"/>
  <c r="F390" i="121"/>
  <c r="H449" i="121"/>
  <c r="N449" i="121" s="1"/>
  <c r="F544" i="121"/>
  <c r="F402" i="121"/>
  <c r="H307" i="121"/>
  <c r="N307" i="121" s="1"/>
  <c r="F475" i="121"/>
  <c r="H380" i="121"/>
  <c r="N380" i="121" s="1"/>
  <c r="F540" i="121"/>
  <c r="H445" i="121"/>
  <c r="N445" i="121" s="1"/>
  <c r="G416" i="121"/>
  <c r="H321" i="121"/>
  <c r="N321" i="121" s="1"/>
  <c r="F609" i="121"/>
  <c r="H514" i="121"/>
  <c r="N514" i="121" s="1"/>
  <c r="F444" i="121"/>
  <c r="H349" i="121"/>
  <c r="N349" i="121" s="1"/>
  <c r="H458" i="121"/>
  <c r="N458" i="121" s="1"/>
  <c r="F553" i="121"/>
  <c r="F549" i="121"/>
  <c r="H454" i="121"/>
  <c r="N454" i="121" s="1"/>
  <c r="F615" i="121"/>
  <c r="H520" i="121"/>
  <c r="N520" i="121" s="1"/>
  <c r="F596" i="121"/>
  <c r="H501" i="121"/>
  <c r="N501" i="121" s="1"/>
  <c r="F640" i="121"/>
  <c r="H545" i="121"/>
  <c r="N545" i="121" s="1"/>
  <c r="F499" i="121"/>
  <c r="H404" i="121"/>
  <c r="N404" i="121" s="1"/>
  <c r="H436" i="121"/>
  <c r="N436" i="121" s="1"/>
  <c r="F531" i="121"/>
  <c r="F591" i="121"/>
  <c r="H496" i="121"/>
  <c r="N496" i="121" s="1"/>
  <c r="F467" i="121"/>
  <c r="H372" i="121"/>
  <c r="N372" i="121" s="1"/>
  <c r="F597" i="121"/>
  <c r="H502" i="121"/>
  <c r="N502" i="121" s="1"/>
  <c r="H491" i="121"/>
  <c r="N491" i="121" s="1"/>
  <c r="F586" i="121"/>
  <c r="F476" i="121"/>
  <c r="H381" i="121"/>
  <c r="N381" i="121" s="1"/>
  <c r="F500" i="121"/>
  <c r="H405" i="121"/>
  <c r="N405" i="121" s="1"/>
  <c r="F440" i="121"/>
  <c r="H345" i="121"/>
  <c r="N345" i="121" s="1"/>
  <c r="H462" i="121"/>
  <c r="N462" i="121" s="1"/>
  <c r="F557" i="121"/>
  <c r="F394" i="121"/>
  <c r="H299" i="121"/>
  <c r="N299" i="121" s="1"/>
  <c r="F421" i="121"/>
  <c r="H326" i="121"/>
  <c r="N326" i="121" s="1"/>
  <c r="F604" i="121"/>
  <c r="H509" i="121"/>
  <c r="N509" i="121" s="1"/>
  <c r="F398" i="121"/>
  <c r="H303" i="121"/>
  <c r="N303" i="121" s="1"/>
  <c r="F428" i="121"/>
  <c r="H333" i="121"/>
  <c r="N333" i="121" s="1"/>
  <c r="F507" i="121"/>
  <c r="H412" i="121"/>
  <c r="N412" i="121" s="1"/>
  <c r="F653" i="121"/>
  <c r="H558" i="121"/>
  <c r="N558" i="121" s="1"/>
  <c r="F395" i="121"/>
  <c r="H300" i="121"/>
  <c r="N300" i="121" s="1"/>
  <c r="H472" i="121"/>
  <c r="N472" i="121" s="1"/>
  <c r="F567" i="121"/>
  <c r="F441" i="121"/>
  <c r="H346" i="121"/>
  <c r="N346" i="121" s="1"/>
  <c r="F473" i="121"/>
  <c r="H378" i="121"/>
  <c r="N378" i="121" s="1"/>
  <c r="F471" i="121"/>
  <c r="H376" i="121"/>
  <c r="N376" i="121" s="1"/>
  <c r="F533" i="121"/>
  <c r="H438" i="121"/>
  <c r="N438" i="121" s="1"/>
  <c r="H429" i="121"/>
  <c r="N429" i="121" s="1"/>
  <c r="F524" i="121"/>
  <c r="F443" i="121"/>
  <c r="H348" i="121"/>
  <c r="N348" i="121" s="1"/>
  <c r="F498" i="121"/>
  <c r="H403" i="121"/>
  <c r="N403" i="121" s="1"/>
  <c r="F457" i="121"/>
  <c r="H362" i="121"/>
  <c r="N362" i="121" s="1"/>
  <c r="H410" i="121"/>
  <c r="N410" i="121" s="1"/>
  <c r="F505" i="121"/>
  <c r="H534" i="121"/>
  <c r="N534" i="121" s="1"/>
  <c r="F629" i="121"/>
  <c r="G295" i="121"/>
  <c r="G290" i="121"/>
  <c r="F556" i="121"/>
  <c r="H461" i="121"/>
  <c r="N461" i="121" s="1"/>
  <c r="F565" i="121"/>
  <c r="H470" i="121"/>
  <c r="N470" i="121" s="1"/>
  <c r="F451" i="121"/>
  <c r="H356" i="121"/>
  <c r="N356" i="121" s="1"/>
  <c r="F477" i="121"/>
  <c r="H382" i="121"/>
  <c r="N382" i="121" s="1"/>
  <c r="F555" i="121"/>
  <c r="H460" i="121"/>
  <c r="N460" i="121" s="1"/>
  <c r="F452" i="121"/>
  <c r="H357" i="121"/>
  <c r="N357" i="121" s="1"/>
  <c r="F573" i="121"/>
  <c r="H478" i="121"/>
  <c r="N478" i="121" s="1"/>
  <c r="H512" i="121"/>
  <c r="N512" i="121" s="1"/>
  <c r="F607" i="121"/>
  <c r="H304" i="121"/>
  <c r="N304" i="121" s="1"/>
  <c r="F399" i="121"/>
  <c r="F423" i="121"/>
  <c r="H328" i="121"/>
  <c r="N328" i="121" s="1"/>
  <c r="F559" i="121"/>
  <c r="H464" i="121"/>
  <c r="N464" i="121" s="1"/>
  <c r="H432" i="121"/>
  <c r="N432" i="121" s="1"/>
  <c r="F527" i="121"/>
  <c r="F530" i="121"/>
  <c r="H435" i="121"/>
  <c r="N435" i="121" s="1"/>
  <c r="F543" i="121"/>
  <c r="H448" i="121"/>
  <c r="N448" i="121" s="1"/>
  <c r="F447" i="121"/>
  <c r="H352" i="121"/>
  <c r="N352" i="121" s="1"/>
  <c r="F400" i="121"/>
  <c r="H305" i="121"/>
  <c r="N305" i="121" s="1"/>
  <c r="F492" i="121"/>
  <c r="H397" i="121"/>
  <c r="N397" i="121" s="1"/>
  <c r="F510" i="121"/>
  <c r="H415" i="121"/>
  <c r="N415" i="121" s="1"/>
  <c r="H371" i="121"/>
  <c r="N371" i="121" s="1"/>
  <c r="F466" i="121"/>
  <c r="H465" i="121"/>
  <c r="N465" i="121" s="1"/>
  <c r="F560" i="121"/>
  <c r="F554" i="121"/>
  <c r="H459" i="121"/>
  <c r="N459" i="121" s="1"/>
  <c r="F487" i="121"/>
  <c r="H392" i="121"/>
  <c r="N392" i="121" s="1"/>
  <c r="F623" i="121"/>
  <c r="H528" i="121"/>
  <c r="N528" i="121" s="1"/>
  <c r="H200" i="121"/>
  <c r="F426" i="121"/>
  <c r="H331" i="121"/>
  <c r="N331" i="121" s="1"/>
  <c r="F525" i="121"/>
  <c r="H430" i="121"/>
  <c r="N430" i="121" s="1"/>
  <c r="F469" i="121"/>
  <c r="H374" i="121"/>
  <c r="N374" i="121" s="1"/>
  <c r="F551" i="121"/>
  <c r="H456" i="121"/>
  <c r="N456" i="121" s="1"/>
  <c r="F624" i="121"/>
  <c r="H529" i="121"/>
  <c r="N529" i="121" s="1"/>
  <c r="F508" i="121"/>
  <c r="H413" i="121"/>
  <c r="N413" i="121" s="1"/>
  <c r="F474" i="121"/>
  <c r="H379" i="121"/>
  <c r="N379" i="121" s="1"/>
  <c r="F693" i="121"/>
  <c r="H693" i="121" s="1"/>
  <c r="N693" i="121" s="1"/>
  <c r="H598" i="121"/>
  <c r="N598" i="121" s="1"/>
  <c r="F526" i="121"/>
  <c r="H431" i="121"/>
  <c r="N431" i="121" s="1"/>
  <c r="H332" i="121"/>
  <c r="N332" i="121" s="1"/>
  <c r="F427" i="121"/>
  <c r="H10" i="93"/>
  <c r="E10" i="93"/>
  <c r="K31" i="120" l="1"/>
  <c r="F32" i="120"/>
  <c r="F60" i="120"/>
  <c r="K60" i="120" s="1"/>
  <c r="K59" i="120"/>
  <c r="F605" i="121"/>
  <c r="H510" i="121"/>
  <c r="N510" i="121" s="1"/>
  <c r="F547" i="121"/>
  <c r="H452" i="121"/>
  <c r="N452" i="121" s="1"/>
  <c r="F602" i="121"/>
  <c r="H507" i="121"/>
  <c r="N507" i="121" s="1"/>
  <c r="F595" i="121"/>
  <c r="H500" i="121"/>
  <c r="N500" i="121" s="1"/>
  <c r="F485" i="121"/>
  <c r="F480" i="121"/>
  <c r="F643" i="121"/>
  <c r="H548" i="121"/>
  <c r="N548" i="121" s="1"/>
  <c r="F603" i="121"/>
  <c r="H508" i="121"/>
  <c r="N508" i="121" s="1"/>
  <c r="F620" i="121"/>
  <c r="H525" i="121"/>
  <c r="N525" i="121" s="1"/>
  <c r="F494" i="121"/>
  <c r="H399" i="121"/>
  <c r="N399" i="121" s="1"/>
  <c r="F587" i="121"/>
  <c r="H492" i="121"/>
  <c r="N492" i="121" s="1"/>
  <c r="F625" i="121"/>
  <c r="H530" i="121"/>
  <c r="N530" i="121" s="1"/>
  <c r="F650" i="121"/>
  <c r="H555" i="121"/>
  <c r="N555" i="121" s="1"/>
  <c r="F489" i="121"/>
  <c r="H394" i="121"/>
  <c r="N394" i="121" s="1"/>
  <c r="F686" i="121"/>
  <c r="H686" i="121" s="1"/>
  <c r="N686" i="121" s="1"/>
  <c r="H591" i="121"/>
  <c r="N591" i="121" s="1"/>
  <c r="F691" i="121"/>
  <c r="H691" i="121" s="1"/>
  <c r="N691" i="121" s="1"/>
  <c r="H596" i="121"/>
  <c r="N596" i="121" s="1"/>
  <c r="F570" i="121"/>
  <c r="H475" i="121"/>
  <c r="N475" i="121" s="1"/>
  <c r="F621" i="121"/>
  <c r="H526" i="121"/>
  <c r="N526" i="121" s="1"/>
  <c r="H426" i="121"/>
  <c r="N426" i="121" s="1"/>
  <c r="F521" i="121"/>
  <c r="F681" i="121"/>
  <c r="H681" i="121" s="1"/>
  <c r="N681" i="121" s="1"/>
  <c r="H586" i="121"/>
  <c r="N586" i="121" s="1"/>
  <c r="H541" i="121"/>
  <c r="N541" i="121" s="1"/>
  <c r="F636" i="121"/>
  <c r="F627" i="121"/>
  <c r="H532" i="121"/>
  <c r="N532" i="121" s="1"/>
  <c r="H290" i="121"/>
  <c r="N200" i="121"/>
  <c r="N290" i="121" s="1"/>
  <c r="F495" i="121"/>
  <c r="H400" i="121"/>
  <c r="N400" i="121" s="1"/>
  <c r="G390" i="121"/>
  <c r="H390" i="121" s="1"/>
  <c r="G385" i="121"/>
  <c r="F566" i="121"/>
  <c r="H471" i="121"/>
  <c r="N471" i="121" s="1"/>
  <c r="H402" i="121"/>
  <c r="N402" i="121" s="1"/>
  <c r="F497" i="121"/>
  <c r="F608" i="121"/>
  <c r="H513" i="121"/>
  <c r="N513" i="121" s="1"/>
  <c r="F646" i="121"/>
  <c r="H551" i="121"/>
  <c r="N551" i="121" s="1"/>
  <c r="F724" i="121"/>
  <c r="H724" i="121" s="1"/>
  <c r="N724" i="121" s="1"/>
  <c r="H629" i="121"/>
  <c r="N629" i="121" s="1"/>
  <c r="F574" i="121"/>
  <c r="H479" i="121"/>
  <c r="N479" i="121" s="1"/>
  <c r="F582" i="121"/>
  <c r="H487" i="121"/>
  <c r="N487" i="121" s="1"/>
  <c r="H543" i="121"/>
  <c r="N543" i="121" s="1"/>
  <c r="F638" i="121"/>
  <c r="H565" i="121"/>
  <c r="N565" i="121" s="1"/>
  <c r="F660" i="121"/>
  <c r="F516" i="121"/>
  <c r="H421" i="121"/>
  <c r="N421" i="121" s="1"/>
  <c r="H467" i="121"/>
  <c r="N467" i="121" s="1"/>
  <c r="F562" i="121"/>
  <c r="H640" i="121"/>
  <c r="N640" i="121" s="1"/>
  <c r="F735" i="121"/>
  <c r="H735" i="121" s="1"/>
  <c r="N735" i="121" s="1"/>
  <c r="F635" i="121"/>
  <c r="H540" i="121"/>
  <c r="N540" i="121" s="1"/>
  <c r="F662" i="121"/>
  <c r="H567" i="121"/>
  <c r="N567" i="121" s="1"/>
  <c r="F488" i="121"/>
  <c r="H393" i="121"/>
  <c r="N393" i="121" s="1"/>
  <c r="F649" i="121"/>
  <c r="H554" i="121"/>
  <c r="N554" i="121" s="1"/>
  <c r="F552" i="121"/>
  <c r="H457" i="121"/>
  <c r="N457" i="121" s="1"/>
  <c r="F628" i="121"/>
  <c r="H533" i="121"/>
  <c r="N533" i="121" s="1"/>
  <c r="F523" i="121"/>
  <c r="H428" i="121"/>
  <c r="N428" i="121" s="1"/>
  <c r="F571" i="121"/>
  <c r="H476" i="121"/>
  <c r="N476" i="121" s="1"/>
  <c r="H444" i="121"/>
  <c r="N444" i="121" s="1"/>
  <c r="F539" i="121"/>
  <c r="F719" i="121"/>
  <c r="H719" i="121" s="1"/>
  <c r="N719" i="121" s="1"/>
  <c r="H624" i="121"/>
  <c r="N624" i="121" s="1"/>
  <c r="F655" i="121"/>
  <c r="H560" i="121"/>
  <c r="N560" i="121" s="1"/>
  <c r="H527" i="121"/>
  <c r="N527" i="121" s="1"/>
  <c r="F622" i="121"/>
  <c r="F702" i="121"/>
  <c r="H702" i="121" s="1"/>
  <c r="N702" i="121" s="1"/>
  <c r="H607" i="121"/>
  <c r="N607" i="121" s="1"/>
  <c r="F652" i="121"/>
  <c r="H557" i="121"/>
  <c r="N557" i="121" s="1"/>
  <c r="F626" i="121"/>
  <c r="H531" i="121"/>
  <c r="N531" i="121" s="1"/>
  <c r="F581" i="121"/>
  <c r="H486" i="121"/>
  <c r="N486" i="121" s="1"/>
  <c r="H477" i="121"/>
  <c r="N477" i="121" s="1"/>
  <c r="F572" i="121"/>
  <c r="F593" i="121"/>
  <c r="H498" i="121"/>
  <c r="N498" i="121" s="1"/>
  <c r="H395" i="121"/>
  <c r="N395" i="121" s="1"/>
  <c r="F490" i="121"/>
  <c r="F493" i="121"/>
  <c r="H398" i="121"/>
  <c r="N398" i="121" s="1"/>
  <c r="F710" i="121"/>
  <c r="H710" i="121" s="1"/>
  <c r="N710" i="121" s="1"/>
  <c r="H615" i="121"/>
  <c r="N615" i="121" s="1"/>
  <c r="F704" i="121"/>
  <c r="H704" i="121" s="1"/>
  <c r="N704" i="121" s="1"/>
  <c r="H609" i="121"/>
  <c r="N609" i="121" s="1"/>
  <c r="F694" i="121"/>
  <c r="H694" i="121" s="1"/>
  <c r="N694" i="121" s="1"/>
  <c r="H599" i="121"/>
  <c r="N599" i="121" s="1"/>
  <c r="F561" i="121"/>
  <c r="H466" i="121"/>
  <c r="N466" i="121" s="1"/>
  <c r="F639" i="121"/>
  <c r="H544" i="121"/>
  <c r="N544" i="121" s="1"/>
  <c r="H550" i="121"/>
  <c r="N550" i="121" s="1"/>
  <c r="F645" i="121"/>
  <c r="H623" i="121"/>
  <c r="N623" i="121" s="1"/>
  <c r="F718" i="121"/>
  <c r="H718" i="121" s="1"/>
  <c r="N718" i="121" s="1"/>
  <c r="H447" i="121"/>
  <c r="N447" i="121" s="1"/>
  <c r="F542" i="121"/>
  <c r="F654" i="121"/>
  <c r="H559" i="121"/>
  <c r="N559" i="121" s="1"/>
  <c r="H573" i="121"/>
  <c r="N573" i="121" s="1"/>
  <c r="F668" i="121"/>
  <c r="F546" i="121"/>
  <c r="H451" i="121"/>
  <c r="N451" i="121" s="1"/>
  <c r="F538" i="121"/>
  <c r="H443" i="121"/>
  <c r="N443" i="121" s="1"/>
  <c r="F568" i="121"/>
  <c r="H473" i="121"/>
  <c r="N473" i="121" s="1"/>
  <c r="F748" i="121"/>
  <c r="H748" i="121" s="1"/>
  <c r="N748" i="121" s="1"/>
  <c r="H653" i="121"/>
  <c r="N653" i="121" s="1"/>
  <c r="F699" i="121"/>
  <c r="H699" i="121" s="1"/>
  <c r="N699" i="121" s="1"/>
  <c r="H604" i="121"/>
  <c r="N604" i="121" s="1"/>
  <c r="H440" i="121"/>
  <c r="N440" i="121" s="1"/>
  <c r="F535" i="121"/>
  <c r="F692" i="121"/>
  <c r="H692" i="121" s="1"/>
  <c r="N692" i="121" s="1"/>
  <c r="H597" i="121"/>
  <c r="N597" i="121" s="1"/>
  <c r="F594" i="121"/>
  <c r="H499" i="121"/>
  <c r="N499" i="121" s="1"/>
  <c r="F644" i="121"/>
  <c r="H549" i="121"/>
  <c r="N549" i="121" s="1"/>
  <c r="G511" i="121"/>
  <c r="H416" i="121"/>
  <c r="N416" i="121" s="1"/>
  <c r="F522" i="121"/>
  <c r="H427" i="121"/>
  <c r="N427" i="121" s="1"/>
  <c r="F518" i="121"/>
  <c r="H423" i="121"/>
  <c r="N423" i="121" s="1"/>
  <c r="H441" i="121"/>
  <c r="N441" i="121" s="1"/>
  <c r="F536" i="121"/>
  <c r="F563" i="121"/>
  <c r="H468" i="121"/>
  <c r="N468" i="121" s="1"/>
  <c r="F651" i="121"/>
  <c r="H556" i="121"/>
  <c r="N556" i="121" s="1"/>
  <c r="F569" i="121"/>
  <c r="H474" i="121"/>
  <c r="N474" i="121" s="1"/>
  <c r="H469" i="121"/>
  <c r="N469" i="121" s="1"/>
  <c r="F564" i="121"/>
  <c r="H505" i="121"/>
  <c r="N505" i="121" s="1"/>
  <c r="F600" i="121"/>
  <c r="H524" i="121"/>
  <c r="N524" i="121" s="1"/>
  <c r="F619" i="121"/>
  <c r="F648" i="121"/>
  <c r="H553" i="121"/>
  <c r="N553" i="121" s="1"/>
  <c r="H295" i="121"/>
  <c r="F519" i="121"/>
  <c r="H424" i="121"/>
  <c r="N424" i="121" s="1"/>
  <c r="F707" i="121"/>
  <c r="H707" i="121" s="1"/>
  <c r="N707" i="121" s="1"/>
  <c r="H612" i="121"/>
  <c r="N612" i="121" s="1"/>
  <c r="F601" i="121"/>
  <c r="H506" i="121"/>
  <c r="N506" i="121" s="1"/>
  <c r="F610" i="121"/>
  <c r="H515" i="121"/>
  <c r="N515" i="121" s="1"/>
  <c r="F33" i="120" l="1"/>
  <c r="K32" i="120"/>
  <c r="H480" i="121"/>
  <c r="N390" i="121"/>
  <c r="N480" i="121" s="1"/>
  <c r="H519" i="121"/>
  <c r="N519" i="121" s="1"/>
  <c r="F614" i="121"/>
  <c r="H490" i="121"/>
  <c r="N490" i="121" s="1"/>
  <c r="F585" i="121"/>
  <c r="F666" i="121"/>
  <c r="H571" i="121"/>
  <c r="N571" i="121" s="1"/>
  <c r="H644" i="121"/>
  <c r="N644" i="121" s="1"/>
  <c r="F739" i="121"/>
  <c r="H739" i="121" s="1"/>
  <c r="N739" i="121" s="1"/>
  <c r="F740" i="121"/>
  <c r="H740" i="121" s="1"/>
  <c r="N740" i="121" s="1"/>
  <c r="H645" i="121"/>
  <c r="N645" i="121" s="1"/>
  <c r="F721" i="121"/>
  <c r="H721" i="121" s="1"/>
  <c r="N721" i="121" s="1"/>
  <c r="H626" i="121"/>
  <c r="N626" i="121" s="1"/>
  <c r="F590" i="121"/>
  <c r="H495" i="121"/>
  <c r="N495" i="121" s="1"/>
  <c r="F720" i="121"/>
  <c r="H720" i="121" s="1"/>
  <c r="N720" i="121" s="1"/>
  <c r="H625" i="121"/>
  <c r="N625" i="121" s="1"/>
  <c r="F592" i="121"/>
  <c r="H497" i="121"/>
  <c r="N497" i="121" s="1"/>
  <c r="F697" i="121"/>
  <c r="H697" i="121" s="1"/>
  <c r="N697" i="121" s="1"/>
  <c r="H602" i="121"/>
  <c r="N602" i="121" s="1"/>
  <c r="F714" i="121"/>
  <c r="H714" i="121" s="1"/>
  <c r="N714" i="121" s="1"/>
  <c r="H619" i="121"/>
  <c r="N619" i="121" s="1"/>
  <c r="F667" i="121"/>
  <c r="H572" i="121"/>
  <c r="N572" i="121" s="1"/>
  <c r="F747" i="121"/>
  <c r="H747" i="121" s="1"/>
  <c r="N747" i="121" s="1"/>
  <c r="H652" i="121"/>
  <c r="N652" i="121" s="1"/>
  <c r="F723" i="121"/>
  <c r="H723" i="121" s="1"/>
  <c r="N723" i="121" s="1"/>
  <c r="H628" i="121"/>
  <c r="N628" i="121" s="1"/>
  <c r="H516" i="121"/>
  <c r="N516" i="121" s="1"/>
  <c r="F611" i="121"/>
  <c r="F682" i="121"/>
  <c r="H682" i="121" s="1"/>
  <c r="N682" i="121" s="1"/>
  <c r="H587" i="121"/>
  <c r="N587" i="121" s="1"/>
  <c r="H643" i="121"/>
  <c r="N643" i="121" s="1"/>
  <c r="F738" i="121"/>
  <c r="H738" i="121" s="1"/>
  <c r="N738" i="121" s="1"/>
  <c r="F746" i="121"/>
  <c r="H746" i="121" s="1"/>
  <c r="N746" i="121" s="1"/>
  <c r="H651" i="121"/>
  <c r="N651" i="121" s="1"/>
  <c r="F617" i="121"/>
  <c r="H522" i="121"/>
  <c r="N522" i="121" s="1"/>
  <c r="F663" i="121"/>
  <c r="H568" i="121"/>
  <c r="N568" i="121" s="1"/>
  <c r="F749" i="121"/>
  <c r="H749" i="121" s="1"/>
  <c r="N749" i="121" s="1"/>
  <c r="H654" i="121"/>
  <c r="N654" i="121" s="1"/>
  <c r="F734" i="121"/>
  <c r="H734" i="121" s="1"/>
  <c r="N734" i="121" s="1"/>
  <c r="H639" i="121"/>
  <c r="N639" i="121" s="1"/>
  <c r="H539" i="121"/>
  <c r="N539" i="121" s="1"/>
  <c r="F634" i="121"/>
  <c r="H660" i="121"/>
  <c r="N660" i="121" s="1"/>
  <c r="F755" i="121"/>
  <c r="H755" i="121" s="1"/>
  <c r="N755" i="121" s="1"/>
  <c r="F642" i="121"/>
  <c r="H547" i="121"/>
  <c r="N547" i="121" s="1"/>
  <c r="H564" i="121"/>
  <c r="N564" i="121" s="1"/>
  <c r="F659" i="121"/>
  <c r="F744" i="121"/>
  <c r="H744" i="121" s="1"/>
  <c r="N744" i="121" s="1"/>
  <c r="H649" i="121"/>
  <c r="N649" i="121" s="1"/>
  <c r="F745" i="121"/>
  <c r="H745" i="121" s="1"/>
  <c r="N745" i="121" s="1"/>
  <c r="H650" i="121"/>
  <c r="N650" i="121" s="1"/>
  <c r="F641" i="121"/>
  <c r="H546" i="121"/>
  <c r="N546" i="121" s="1"/>
  <c r="F705" i="121"/>
  <c r="H705" i="121" s="1"/>
  <c r="N705" i="121" s="1"/>
  <c r="H610" i="121"/>
  <c r="N610" i="121" s="1"/>
  <c r="F618" i="121"/>
  <c r="H523" i="121"/>
  <c r="N523" i="121" s="1"/>
  <c r="H608" i="121"/>
  <c r="N608" i="121" s="1"/>
  <c r="F703" i="121"/>
  <c r="H703" i="121" s="1"/>
  <c r="N703" i="121" s="1"/>
  <c r="F743" i="121"/>
  <c r="H743" i="121" s="1"/>
  <c r="N743" i="121" s="1"/>
  <c r="H648" i="121"/>
  <c r="N648" i="121" s="1"/>
  <c r="H594" i="121"/>
  <c r="N594" i="121" s="1"/>
  <c r="F689" i="121"/>
  <c r="H689" i="121" s="1"/>
  <c r="N689" i="121" s="1"/>
  <c r="H593" i="121"/>
  <c r="N593" i="121" s="1"/>
  <c r="F688" i="121"/>
  <c r="H688" i="121" s="1"/>
  <c r="N688" i="121" s="1"/>
  <c r="F695" i="121"/>
  <c r="H695" i="121" s="1"/>
  <c r="N695" i="121" s="1"/>
  <c r="H600" i="121"/>
  <c r="N600" i="121" s="1"/>
  <c r="F730" i="121"/>
  <c r="H730" i="121" s="1"/>
  <c r="N730" i="121" s="1"/>
  <c r="H635" i="121"/>
  <c r="N635" i="121" s="1"/>
  <c r="H536" i="121"/>
  <c r="N536" i="121" s="1"/>
  <c r="F631" i="121"/>
  <c r="F741" i="121"/>
  <c r="H741" i="121" s="1"/>
  <c r="N741" i="121" s="1"/>
  <c r="H646" i="121"/>
  <c r="N646" i="121" s="1"/>
  <c r="G485" i="121"/>
  <c r="G480" i="121"/>
  <c r="H570" i="121"/>
  <c r="N570" i="121" s="1"/>
  <c r="F665" i="121"/>
  <c r="F715" i="121"/>
  <c r="H715" i="121" s="1"/>
  <c r="N715" i="121" s="1"/>
  <c r="H620" i="121"/>
  <c r="N620" i="121" s="1"/>
  <c r="H385" i="121"/>
  <c r="N295" i="121"/>
  <c r="N385" i="121" s="1"/>
  <c r="F657" i="121"/>
  <c r="H562" i="121"/>
  <c r="N562" i="121" s="1"/>
  <c r="H595" i="121"/>
  <c r="N595" i="121" s="1"/>
  <c r="F690" i="121"/>
  <c r="H690" i="121" s="1"/>
  <c r="N690" i="121" s="1"/>
  <c r="F763" i="121"/>
  <c r="H763" i="121" s="1"/>
  <c r="N763" i="121" s="1"/>
  <c r="H668" i="121"/>
  <c r="N668" i="121" s="1"/>
  <c r="F750" i="121"/>
  <c r="H750" i="121" s="1"/>
  <c r="N750" i="121" s="1"/>
  <c r="H655" i="121"/>
  <c r="N655" i="121" s="1"/>
  <c r="H488" i="121"/>
  <c r="N488" i="121" s="1"/>
  <c r="F583" i="121"/>
  <c r="F677" i="121"/>
  <c r="H677" i="121" s="1"/>
  <c r="N677" i="121" s="1"/>
  <c r="H582" i="121"/>
  <c r="N582" i="121" s="1"/>
  <c r="H603" i="121"/>
  <c r="N603" i="121" s="1"/>
  <c r="F698" i="121"/>
  <c r="H698" i="121" s="1"/>
  <c r="N698" i="121" s="1"/>
  <c r="H569" i="121"/>
  <c r="N569" i="121" s="1"/>
  <c r="F664" i="121"/>
  <c r="F613" i="121"/>
  <c r="H518" i="121"/>
  <c r="N518" i="121" s="1"/>
  <c r="F616" i="121"/>
  <c r="H521" i="121"/>
  <c r="N521" i="121" s="1"/>
  <c r="F696" i="121"/>
  <c r="H696" i="121" s="1"/>
  <c r="N696" i="121" s="1"/>
  <c r="H601" i="121"/>
  <c r="N601" i="121" s="1"/>
  <c r="F757" i="121"/>
  <c r="H757" i="121" s="1"/>
  <c r="N757" i="121" s="1"/>
  <c r="H662" i="121"/>
  <c r="N662" i="121" s="1"/>
  <c r="H574" i="121"/>
  <c r="N574" i="121" s="1"/>
  <c r="F669" i="121"/>
  <c r="F630" i="121"/>
  <c r="H535" i="121"/>
  <c r="N535" i="121" s="1"/>
  <c r="F637" i="121"/>
  <c r="H542" i="121"/>
  <c r="N542" i="121" s="1"/>
  <c r="F647" i="121"/>
  <c r="H552" i="121"/>
  <c r="N552" i="121" s="1"/>
  <c r="F661" i="121"/>
  <c r="H566" i="121"/>
  <c r="N566" i="121" s="1"/>
  <c r="F722" i="121"/>
  <c r="H722" i="121" s="1"/>
  <c r="N722" i="121" s="1"/>
  <c r="H627" i="121"/>
  <c r="N627" i="121" s="1"/>
  <c r="F716" i="121"/>
  <c r="H716" i="121" s="1"/>
  <c r="N716" i="121" s="1"/>
  <c r="H621" i="121"/>
  <c r="N621" i="121" s="1"/>
  <c r="F584" i="121"/>
  <c r="H489" i="121"/>
  <c r="N489" i="121" s="1"/>
  <c r="F589" i="121"/>
  <c r="H494" i="121"/>
  <c r="N494" i="121" s="1"/>
  <c r="H563" i="121"/>
  <c r="N563" i="121" s="1"/>
  <c r="F658" i="121"/>
  <c r="G606" i="121"/>
  <c r="H511" i="121"/>
  <c r="N511" i="121" s="1"/>
  <c r="H538" i="121"/>
  <c r="N538" i="121" s="1"/>
  <c r="F633" i="121"/>
  <c r="F656" i="121"/>
  <c r="H561" i="121"/>
  <c r="N561" i="121" s="1"/>
  <c r="H493" i="121"/>
  <c r="N493" i="121" s="1"/>
  <c r="F588" i="121"/>
  <c r="H581" i="121"/>
  <c r="N581" i="121" s="1"/>
  <c r="F676" i="121"/>
  <c r="H676" i="121" s="1"/>
  <c r="N676" i="121" s="1"/>
  <c r="F717" i="121"/>
  <c r="H717" i="121" s="1"/>
  <c r="N717" i="121" s="1"/>
  <c r="H622" i="121"/>
  <c r="N622" i="121" s="1"/>
  <c r="F733" i="121"/>
  <c r="H733" i="121" s="1"/>
  <c r="N733" i="121" s="1"/>
  <c r="H638" i="121"/>
  <c r="N638" i="121" s="1"/>
  <c r="H636" i="121"/>
  <c r="N636" i="121" s="1"/>
  <c r="F731" i="121"/>
  <c r="H731" i="121" s="1"/>
  <c r="N731" i="121" s="1"/>
  <c r="H485" i="121"/>
  <c r="F580" i="121"/>
  <c r="F575" i="121"/>
  <c r="F700" i="121"/>
  <c r="H700" i="121" s="1"/>
  <c r="N700" i="121" s="1"/>
  <c r="H605" i="121"/>
  <c r="N605" i="121" s="1"/>
  <c r="K33" i="120" l="1"/>
  <c r="F34" i="120"/>
  <c r="F706" i="121"/>
  <c r="H706" i="121" s="1"/>
  <c r="N706" i="121" s="1"/>
  <c r="H611" i="121"/>
  <c r="N611" i="121" s="1"/>
  <c r="F679" i="121"/>
  <c r="H679" i="121" s="1"/>
  <c r="N679" i="121" s="1"/>
  <c r="H584" i="121"/>
  <c r="N584" i="121" s="1"/>
  <c r="F713" i="121"/>
  <c r="H713" i="121" s="1"/>
  <c r="N713" i="121" s="1"/>
  <c r="H618" i="121"/>
  <c r="N618" i="121" s="1"/>
  <c r="F675" i="121"/>
  <c r="F670" i="121"/>
  <c r="F754" i="121"/>
  <c r="H754" i="121" s="1"/>
  <c r="N754" i="121" s="1"/>
  <c r="H659" i="121"/>
  <c r="N659" i="121" s="1"/>
  <c r="H585" i="121"/>
  <c r="N585" i="121" s="1"/>
  <c r="F680" i="121"/>
  <c r="H680" i="121" s="1"/>
  <c r="N680" i="121" s="1"/>
  <c r="H575" i="121"/>
  <c r="N485" i="121"/>
  <c r="N575" i="121" s="1"/>
  <c r="F732" i="121"/>
  <c r="H732" i="121" s="1"/>
  <c r="N732" i="121" s="1"/>
  <c r="H637" i="121"/>
  <c r="N637" i="121" s="1"/>
  <c r="F683" i="121"/>
  <c r="H683" i="121" s="1"/>
  <c r="N683" i="121" s="1"/>
  <c r="H588" i="121"/>
  <c r="N588" i="121" s="1"/>
  <c r="F753" i="121"/>
  <c r="H753" i="121" s="1"/>
  <c r="N753" i="121" s="1"/>
  <c r="H658" i="121"/>
  <c r="N658" i="121" s="1"/>
  <c r="F736" i="121"/>
  <c r="H736" i="121" s="1"/>
  <c r="N736" i="121" s="1"/>
  <c r="H641" i="121"/>
  <c r="N641" i="121" s="1"/>
  <c r="F737" i="121"/>
  <c r="H737" i="121" s="1"/>
  <c r="N737" i="121" s="1"/>
  <c r="H642" i="121"/>
  <c r="N642" i="121" s="1"/>
  <c r="F764" i="121"/>
  <c r="H764" i="121" s="1"/>
  <c r="N764" i="121" s="1"/>
  <c r="H669" i="121"/>
  <c r="N669" i="121" s="1"/>
  <c r="F678" i="121"/>
  <c r="H678" i="121" s="1"/>
  <c r="N678" i="121" s="1"/>
  <c r="H583" i="121"/>
  <c r="N583" i="121" s="1"/>
  <c r="F728" i="121"/>
  <c r="H728" i="121" s="1"/>
  <c r="N728" i="121" s="1"/>
  <c r="H633" i="121"/>
  <c r="N633" i="121" s="1"/>
  <c r="F759" i="121"/>
  <c r="H759" i="121" s="1"/>
  <c r="N759" i="121" s="1"/>
  <c r="H664" i="121"/>
  <c r="N664" i="121" s="1"/>
  <c r="F729" i="121"/>
  <c r="H729" i="121" s="1"/>
  <c r="N729" i="121" s="1"/>
  <c r="H634" i="121"/>
  <c r="N634" i="121" s="1"/>
  <c r="F742" i="121"/>
  <c r="H742" i="121" s="1"/>
  <c r="N742" i="121" s="1"/>
  <c r="H647" i="121"/>
  <c r="N647" i="121" s="1"/>
  <c r="H617" i="121"/>
  <c r="N617" i="121" s="1"/>
  <c r="F712" i="121"/>
  <c r="H712" i="121" s="1"/>
  <c r="N712" i="121" s="1"/>
  <c r="F685" i="121"/>
  <c r="H685" i="121" s="1"/>
  <c r="N685" i="121" s="1"/>
  <c r="H590" i="121"/>
  <c r="N590" i="121" s="1"/>
  <c r="F761" i="121"/>
  <c r="H761" i="121" s="1"/>
  <c r="N761" i="121" s="1"/>
  <c r="H666" i="121"/>
  <c r="N666" i="121" s="1"/>
  <c r="H631" i="121"/>
  <c r="N631" i="121" s="1"/>
  <c r="F726" i="121"/>
  <c r="H726" i="121" s="1"/>
  <c r="N726" i="121" s="1"/>
  <c r="G701" i="121"/>
  <c r="H701" i="121" s="1"/>
  <c r="N701" i="121" s="1"/>
  <c r="H606" i="121"/>
  <c r="N606" i="121" s="1"/>
  <c r="F760" i="121"/>
  <c r="H760" i="121" s="1"/>
  <c r="N760" i="121" s="1"/>
  <c r="H665" i="121"/>
  <c r="N665" i="121" s="1"/>
  <c r="H614" i="121"/>
  <c r="N614" i="121" s="1"/>
  <c r="F709" i="121"/>
  <c r="H709" i="121" s="1"/>
  <c r="N709" i="121" s="1"/>
  <c r="F725" i="121"/>
  <c r="H725" i="121" s="1"/>
  <c r="N725" i="121" s="1"/>
  <c r="H630" i="121"/>
  <c r="N630" i="121" s="1"/>
  <c r="F711" i="121"/>
  <c r="H711" i="121" s="1"/>
  <c r="N711" i="121" s="1"/>
  <c r="H616" i="121"/>
  <c r="N616" i="121" s="1"/>
  <c r="F687" i="121"/>
  <c r="H687" i="121" s="1"/>
  <c r="N687" i="121" s="1"/>
  <c r="H592" i="121"/>
  <c r="N592" i="121" s="1"/>
  <c r="F751" i="121"/>
  <c r="H751" i="121" s="1"/>
  <c r="N751" i="121" s="1"/>
  <c r="H656" i="121"/>
  <c r="N656" i="121" s="1"/>
  <c r="H589" i="121"/>
  <c r="N589" i="121" s="1"/>
  <c r="F684" i="121"/>
  <c r="H684" i="121" s="1"/>
  <c r="N684" i="121" s="1"/>
  <c r="F756" i="121"/>
  <c r="H756" i="121" s="1"/>
  <c r="N756" i="121" s="1"/>
  <c r="H661" i="121"/>
  <c r="N661" i="121" s="1"/>
  <c r="H613" i="121"/>
  <c r="N613" i="121" s="1"/>
  <c r="F708" i="121"/>
  <c r="H708" i="121" s="1"/>
  <c r="N708" i="121" s="1"/>
  <c r="F752" i="121"/>
  <c r="H752" i="121" s="1"/>
  <c r="N752" i="121" s="1"/>
  <c r="H657" i="121"/>
  <c r="N657" i="121" s="1"/>
  <c r="G580" i="121"/>
  <c r="G575" i="121"/>
  <c r="F758" i="121"/>
  <c r="H758" i="121" s="1"/>
  <c r="N758" i="121" s="1"/>
  <c r="H663" i="121"/>
  <c r="N663" i="121" s="1"/>
  <c r="F762" i="121"/>
  <c r="H762" i="121" s="1"/>
  <c r="N762" i="121" s="1"/>
  <c r="H667" i="121"/>
  <c r="N667" i="121" s="1"/>
  <c r="K34" i="120" l="1"/>
  <c r="F35" i="120"/>
  <c r="F765" i="121"/>
  <c r="G675" i="121"/>
  <c r="G765" i="121" s="1"/>
  <c r="G670" i="121"/>
  <c r="H580" i="121"/>
  <c r="F36" i="120" l="1"/>
  <c r="K35" i="120"/>
  <c r="H670" i="121"/>
  <c r="N580" i="121"/>
  <c r="N670" i="121" s="1"/>
  <c r="H675" i="121"/>
  <c r="F37" i="120" l="1"/>
  <c r="K36" i="120"/>
  <c r="H765" i="121"/>
  <c r="N675" i="121"/>
  <c r="N765" i="121" s="1"/>
  <c r="F38" i="120" l="1"/>
  <c r="K38" i="120" s="1"/>
  <c r="K37" i="120"/>
  <c r="G54" i="67" l="1"/>
  <c r="H54" i="67"/>
  <c r="G55" i="67"/>
  <c r="H55" i="67"/>
  <c r="G56" i="67"/>
  <c r="H56" i="67"/>
  <c r="G61" i="67"/>
  <c r="H61" i="67"/>
  <c r="G62" i="67"/>
  <c r="H62" i="67"/>
  <c r="G67" i="67"/>
  <c r="H67" i="67"/>
  <c r="G68" i="67"/>
  <c r="H68" i="67"/>
  <c r="G73" i="67"/>
  <c r="H73" i="67"/>
  <c r="G74" i="67"/>
  <c r="H74" i="67"/>
  <c r="F54" i="67"/>
  <c r="F55" i="67"/>
  <c r="F56" i="67"/>
  <c r="F61" i="67"/>
  <c r="F62" i="67"/>
  <c r="F67" i="67"/>
  <c r="F68" i="67"/>
  <c r="F73" i="67"/>
  <c r="F74" i="67"/>
  <c r="H30" i="59" l="1"/>
  <c r="H31" i="59"/>
  <c r="P11" i="81"/>
  <c r="O11" i="81"/>
  <c r="M11" i="81"/>
  <c r="I11" i="81"/>
  <c r="H11" i="81"/>
  <c r="N60" i="81"/>
  <c r="J60" i="81"/>
  <c r="F60" i="81"/>
  <c r="F56" i="81"/>
  <c r="I39" i="59"/>
  <c r="E39" i="59" l="1"/>
  <c r="M39" i="59"/>
  <c r="F52" i="81"/>
  <c r="K30" i="59"/>
  <c r="L30" i="59" s="1"/>
  <c r="K31" i="59"/>
  <c r="L31" i="59" s="1"/>
  <c r="O41" i="81" l="1"/>
  <c r="F25" i="81" l="1"/>
  <c r="N25" i="81" l="1"/>
  <c r="O15" i="81"/>
  <c r="P15" i="81"/>
  <c r="Q15" i="81"/>
  <c r="G15" i="81"/>
  <c r="Q12" i="58" l="1"/>
  <c r="L31" i="72" l="1"/>
  <c r="M31" i="72"/>
  <c r="Q65" i="59" l="1"/>
  <c r="N65" i="59" s="1"/>
  <c r="N51" i="59"/>
  <c r="N52" i="59"/>
  <c r="B72" i="60" l="1"/>
  <c r="B73" i="60" s="1"/>
  <c r="B74" i="60" s="1"/>
  <c r="B75" i="60" s="1"/>
  <c r="B76" i="60" s="1"/>
  <c r="B77" i="60" s="1"/>
  <c r="B78" i="60" s="1"/>
  <c r="B79" i="60" s="1"/>
  <c r="B80" i="60" s="1"/>
  <c r="B81" i="60" s="1"/>
  <c r="B58" i="60"/>
  <c r="B59" i="60" s="1"/>
  <c r="B60" i="60" s="1"/>
  <c r="B61" i="60" s="1"/>
  <c r="B62" i="60" s="1"/>
  <c r="B63" i="60" s="1"/>
  <c r="B64" i="60" s="1"/>
  <c r="B65" i="60" s="1"/>
  <c r="B66" i="60" s="1"/>
  <c r="B67" i="60" s="1"/>
  <c r="B12" i="58" l="1"/>
  <c r="B13" i="58" s="1"/>
  <c r="B14" i="58" s="1"/>
  <c r="B15" i="58" s="1"/>
  <c r="B16" i="58" s="1"/>
  <c r="B17" i="58" s="1"/>
  <c r="B18" i="58" s="1"/>
  <c r="B19" i="58" s="1"/>
  <c r="B20" i="58" s="1"/>
  <c r="B21" i="58" s="1"/>
  <c r="B22" i="58" s="1"/>
  <c r="B23" i="58" s="1"/>
  <c r="B24" i="58" s="1"/>
  <c r="B25" i="58" s="1"/>
  <c r="B26" i="58" s="1"/>
  <c r="B27" i="58" s="1"/>
  <c r="I198" i="59"/>
  <c r="W12" i="58" s="1"/>
  <c r="H198" i="59"/>
  <c r="H80" i="61" s="1"/>
  <c r="G198" i="59"/>
  <c r="G80" i="61" s="1"/>
  <c r="F198" i="59"/>
  <c r="F79" i="61" s="1"/>
  <c r="B192" i="59"/>
  <c r="B193" i="59" s="1"/>
  <c r="B194" i="59" s="1"/>
  <c r="B195" i="59" s="1"/>
  <c r="B196" i="59" s="1"/>
  <c r="B183" i="59"/>
  <c r="B184" i="59" s="1"/>
  <c r="B185" i="59" s="1"/>
  <c r="B186" i="59" s="1"/>
  <c r="B187" i="59" s="1"/>
  <c r="B169" i="59"/>
  <c r="B170" i="59" s="1"/>
  <c r="B171" i="59" s="1"/>
  <c r="B172" i="59" s="1"/>
  <c r="B173" i="59" s="1"/>
  <c r="B174" i="59" s="1"/>
  <c r="B175" i="59" s="1"/>
  <c r="B176" i="59" s="1"/>
  <c r="B177" i="59" s="1"/>
  <c r="B178" i="59" s="1"/>
  <c r="E23" i="65"/>
  <c r="E82" i="61" s="1"/>
  <c r="I19" i="65"/>
  <c r="H19" i="65"/>
  <c r="G19" i="65"/>
  <c r="F19" i="65"/>
  <c r="E19" i="65"/>
  <c r="E24" i="65" l="1"/>
  <c r="F23" i="65"/>
  <c r="H79" i="61"/>
  <c r="T12" i="58"/>
  <c r="G79" i="61"/>
  <c r="I80" i="61"/>
  <c r="U12" i="58"/>
  <c r="I79" i="61"/>
  <c r="V12" i="58"/>
  <c r="F80" i="61"/>
  <c r="E198" i="59"/>
  <c r="F24" i="65" l="1"/>
  <c r="F82" i="61"/>
  <c r="G23" i="65"/>
  <c r="S14" i="58"/>
  <c r="E81" i="61"/>
  <c r="S12" i="58"/>
  <c r="E79" i="61"/>
  <c r="E80" i="61"/>
  <c r="M21" i="69"/>
  <c r="L21" i="69"/>
  <c r="K21" i="69"/>
  <c r="J21" i="69"/>
  <c r="I21" i="69"/>
  <c r="G82" i="61" l="1"/>
  <c r="G24" i="65"/>
  <c r="H23" i="65"/>
  <c r="T14" i="58"/>
  <c r="F81" i="61"/>
  <c r="F83" i="61" s="1"/>
  <c r="E83" i="61"/>
  <c r="U14" i="58" l="1"/>
  <c r="G81" i="61"/>
  <c r="G83" i="61" s="1"/>
  <c r="H82" i="61"/>
  <c r="H24" i="65"/>
  <c r="I23" i="65"/>
  <c r="D12" i="78"/>
  <c r="E12" i="78"/>
  <c r="I24" i="65" l="1"/>
  <c r="I82" i="61"/>
  <c r="V14" i="58"/>
  <c r="H81" i="61"/>
  <c r="H83" i="61" s="1"/>
  <c r="B11" i="65"/>
  <c r="B12" i="65" s="1"/>
  <c r="B13" i="65" s="1"/>
  <c r="B14" i="65" s="1"/>
  <c r="B15" i="65" s="1"/>
  <c r="B16" i="65" s="1"/>
  <c r="B17" i="65" s="1"/>
  <c r="M17" i="65"/>
  <c r="M13" i="58" s="1"/>
  <c r="W14" i="58" l="1"/>
  <c r="I81" i="61"/>
  <c r="I83" i="61" s="1"/>
  <c r="D18" i="55" l="1"/>
  <c r="E17" i="65" l="1"/>
  <c r="E13" i="58" s="1"/>
  <c r="I17" i="65"/>
  <c r="I13" i="58" s="1"/>
  <c r="W31" i="81" l="1"/>
  <c r="W22" i="81"/>
  <c r="W21" i="81"/>
  <c r="W19" i="81"/>
  <c r="W18" i="81"/>
  <c r="V31" i="81"/>
  <c r="V22" i="81"/>
  <c r="V21" i="81"/>
  <c r="V19" i="81"/>
  <c r="V18" i="81"/>
  <c r="U31" i="81"/>
  <c r="U22" i="81"/>
  <c r="U21" i="81"/>
  <c r="U19" i="81"/>
  <c r="U18" i="81"/>
  <c r="T31" i="81"/>
  <c r="T22" i="81"/>
  <c r="T21" i="81"/>
  <c r="T19" i="81"/>
  <c r="T18" i="81"/>
  <c r="J141" i="59" l="1"/>
  <c r="I23" i="59" l="1"/>
  <c r="W65" i="59" l="1"/>
  <c r="W11" i="81"/>
  <c r="V65" i="59"/>
  <c r="V11" i="81"/>
  <c r="T65" i="59"/>
  <c r="T11" i="81"/>
  <c r="U65" i="59"/>
  <c r="U11" i="81"/>
  <c r="S11" i="81"/>
  <c r="G31" i="104"/>
  <c r="W12" i="66" l="1"/>
  <c r="W16" i="66" l="1"/>
  <c r="W13" i="66"/>
  <c r="W17" i="66" s="1"/>
  <c r="W14" i="66"/>
  <c r="W15" i="66"/>
  <c r="S65" i="59"/>
  <c r="V95" i="118" l="1"/>
  <c r="V96" i="118"/>
  <c r="V97" i="118"/>
  <c r="V98" i="118"/>
  <c r="V99" i="118"/>
  <c r="V100" i="118"/>
  <c r="V101" i="118"/>
  <c r="V102" i="118"/>
  <c r="V103" i="118"/>
  <c r="V104" i="118"/>
  <c r="V105" i="118"/>
  <c r="V106" i="118"/>
  <c r="V107" i="118"/>
  <c r="V108" i="118"/>
  <c r="V109" i="118"/>
  <c r="V110" i="118"/>
  <c r="V111" i="118"/>
  <c r="Q95" i="118"/>
  <c r="Q96" i="118"/>
  <c r="Q97" i="118"/>
  <c r="Q98" i="118"/>
  <c r="Q99" i="118"/>
  <c r="Q100" i="118"/>
  <c r="Q101" i="118"/>
  <c r="Q102" i="118"/>
  <c r="Q103" i="118"/>
  <c r="Q104" i="118"/>
  <c r="Q105" i="118"/>
  <c r="Q106" i="118"/>
  <c r="Q107" i="118"/>
  <c r="Q108" i="118"/>
  <c r="Q109" i="118"/>
  <c r="Q110" i="118"/>
  <c r="Q111" i="118"/>
  <c r="L95" i="118"/>
  <c r="L96" i="118"/>
  <c r="L97" i="118"/>
  <c r="L98" i="118"/>
  <c r="L99" i="118"/>
  <c r="L100" i="118"/>
  <c r="L101" i="118"/>
  <c r="L102" i="118"/>
  <c r="L103" i="118"/>
  <c r="L104" i="118"/>
  <c r="L105" i="118"/>
  <c r="L106" i="118"/>
  <c r="L107" i="118"/>
  <c r="L108" i="118"/>
  <c r="L109" i="118"/>
  <c r="L110" i="118"/>
  <c r="L111" i="118"/>
  <c r="G95" i="118"/>
  <c r="G96" i="118"/>
  <c r="G97" i="118"/>
  <c r="G98" i="118"/>
  <c r="G99" i="118"/>
  <c r="G100" i="118"/>
  <c r="G101" i="118"/>
  <c r="G102" i="118"/>
  <c r="G103" i="118"/>
  <c r="G104" i="118"/>
  <c r="G105" i="118"/>
  <c r="G106" i="118"/>
  <c r="G107" i="118"/>
  <c r="G108" i="118"/>
  <c r="G109" i="118"/>
  <c r="G110" i="118"/>
  <c r="G111" i="118"/>
  <c r="V68" i="118"/>
  <c r="V69" i="118"/>
  <c r="V70" i="118"/>
  <c r="V71" i="118"/>
  <c r="V72" i="118"/>
  <c r="V73" i="118"/>
  <c r="V74" i="118"/>
  <c r="V75" i="118"/>
  <c r="V76" i="118"/>
  <c r="V77" i="118"/>
  <c r="V78" i="118"/>
  <c r="V79" i="118"/>
  <c r="V80" i="118"/>
  <c r="V81" i="118"/>
  <c r="V82" i="118"/>
  <c r="V83" i="118"/>
  <c r="V84" i="118"/>
  <c r="Q68" i="118"/>
  <c r="Q69" i="118"/>
  <c r="Q70" i="118"/>
  <c r="Q71" i="118"/>
  <c r="Q72" i="118"/>
  <c r="Q73" i="118"/>
  <c r="Q74" i="118"/>
  <c r="Q75" i="118"/>
  <c r="Q76" i="118"/>
  <c r="Q77" i="118"/>
  <c r="Q78" i="118"/>
  <c r="Q79" i="118"/>
  <c r="Q80" i="118"/>
  <c r="Q81" i="118"/>
  <c r="Q82" i="118"/>
  <c r="Q83" i="118"/>
  <c r="Q84" i="118"/>
  <c r="L68" i="118"/>
  <c r="L69" i="118"/>
  <c r="L70" i="118"/>
  <c r="L71" i="118"/>
  <c r="L72" i="118"/>
  <c r="L73" i="118"/>
  <c r="L74" i="118"/>
  <c r="L75" i="118"/>
  <c r="L76" i="118"/>
  <c r="L77" i="118"/>
  <c r="L78" i="118"/>
  <c r="L79" i="118"/>
  <c r="L80" i="118"/>
  <c r="L81" i="118"/>
  <c r="L82" i="118"/>
  <c r="L83" i="118"/>
  <c r="L84" i="118"/>
  <c r="G68" i="118"/>
  <c r="G69" i="118"/>
  <c r="G70" i="118"/>
  <c r="G71" i="118"/>
  <c r="G72" i="118"/>
  <c r="G73" i="118"/>
  <c r="G74" i="118"/>
  <c r="G75" i="118"/>
  <c r="G76" i="118"/>
  <c r="G77" i="118"/>
  <c r="G78" i="118"/>
  <c r="G79" i="118"/>
  <c r="G80" i="118"/>
  <c r="G81" i="118"/>
  <c r="G82" i="118"/>
  <c r="G83" i="118"/>
  <c r="G84" i="118"/>
  <c r="V40" i="118"/>
  <c r="V41" i="118"/>
  <c r="V42" i="118"/>
  <c r="V43" i="118"/>
  <c r="V44" i="118"/>
  <c r="V45" i="118"/>
  <c r="V46" i="118"/>
  <c r="V47" i="118"/>
  <c r="V48" i="118"/>
  <c r="V49" i="118"/>
  <c r="V50" i="118"/>
  <c r="V51" i="118"/>
  <c r="V52" i="118"/>
  <c r="V53" i="118"/>
  <c r="V54" i="118"/>
  <c r="V55" i="118"/>
  <c r="V56" i="118"/>
  <c r="Q40" i="118"/>
  <c r="Q41" i="118"/>
  <c r="Q42" i="118"/>
  <c r="Q43" i="118"/>
  <c r="Q44" i="118"/>
  <c r="Q45" i="118"/>
  <c r="Q46" i="118"/>
  <c r="Q47" i="118"/>
  <c r="Q48" i="118"/>
  <c r="Q49" i="118"/>
  <c r="Q50" i="118"/>
  <c r="Q51" i="118"/>
  <c r="Q52" i="118"/>
  <c r="Q53" i="118"/>
  <c r="Q54" i="118"/>
  <c r="Q55" i="118"/>
  <c r="Q56" i="118"/>
  <c r="L40" i="118"/>
  <c r="L41" i="118"/>
  <c r="L42" i="118"/>
  <c r="L43" i="118"/>
  <c r="L44" i="118"/>
  <c r="L45" i="118"/>
  <c r="L46" i="118"/>
  <c r="L47" i="118"/>
  <c r="L48" i="118"/>
  <c r="L49" i="118"/>
  <c r="L50" i="118"/>
  <c r="L51" i="118"/>
  <c r="L52" i="118"/>
  <c r="L53" i="118"/>
  <c r="L54" i="118"/>
  <c r="L55" i="118"/>
  <c r="L56" i="118"/>
  <c r="G40" i="118"/>
  <c r="G148" i="118" s="1"/>
  <c r="G41" i="118"/>
  <c r="G42" i="118"/>
  <c r="G43" i="118"/>
  <c r="G44" i="118"/>
  <c r="G152" i="118" s="1"/>
  <c r="G45" i="118"/>
  <c r="G46" i="118"/>
  <c r="G47" i="118"/>
  <c r="G155" i="118" s="1"/>
  <c r="G48" i="118"/>
  <c r="G156" i="118" s="1"/>
  <c r="G49" i="118"/>
  <c r="G50" i="118"/>
  <c r="G51" i="118"/>
  <c r="G52" i="118"/>
  <c r="G160" i="118" s="1"/>
  <c r="G53" i="118"/>
  <c r="G54" i="118"/>
  <c r="G55" i="118"/>
  <c r="G163" i="118" s="1"/>
  <c r="G56" i="118"/>
  <c r="V14" i="118"/>
  <c r="V15" i="118"/>
  <c r="V16" i="118"/>
  <c r="V17" i="118"/>
  <c r="V125" i="118" s="1"/>
  <c r="V18" i="118"/>
  <c r="V19" i="118"/>
  <c r="V20" i="118"/>
  <c r="V21" i="118"/>
  <c r="V129" i="118" s="1"/>
  <c r="V22" i="118"/>
  <c r="V23" i="118"/>
  <c r="V24" i="118"/>
  <c r="V25" i="118"/>
  <c r="V133" i="118" s="1"/>
  <c r="V26" i="118"/>
  <c r="V27" i="118"/>
  <c r="V28" i="118"/>
  <c r="V29" i="118"/>
  <c r="V137" i="118" s="1"/>
  <c r="V30" i="118"/>
  <c r="Q30" i="118"/>
  <c r="Q29" i="118"/>
  <c r="Q28" i="118"/>
  <c r="Q27" i="118"/>
  <c r="Q135" i="118" s="1"/>
  <c r="Q26" i="118"/>
  <c r="Q134" i="118" s="1"/>
  <c r="Q25" i="118"/>
  <c r="Q133" i="118" s="1"/>
  <c r="Q24" i="118"/>
  <c r="Q23" i="118"/>
  <c r="Q22" i="118"/>
  <c r="Q21" i="118"/>
  <c r="Q20" i="118"/>
  <c r="Q19" i="118"/>
  <c r="Q127" i="118" s="1"/>
  <c r="Q18" i="118"/>
  <c r="Q126" i="118" s="1"/>
  <c r="Q17" i="118"/>
  <c r="Q125" i="118" s="1"/>
  <c r="Q16" i="118"/>
  <c r="Q15" i="118"/>
  <c r="Q14" i="118"/>
  <c r="L14" i="118"/>
  <c r="L15" i="118"/>
  <c r="L16" i="118"/>
  <c r="L17" i="118"/>
  <c r="L18" i="118"/>
  <c r="L19" i="118"/>
  <c r="L20" i="118"/>
  <c r="L21" i="118"/>
  <c r="L22" i="118"/>
  <c r="L23" i="118"/>
  <c r="L24" i="118"/>
  <c r="L25" i="118"/>
  <c r="L26" i="118"/>
  <c r="L27" i="118"/>
  <c r="L28" i="118"/>
  <c r="L29" i="118"/>
  <c r="L30" i="118"/>
  <c r="G15" i="118"/>
  <c r="G16" i="118"/>
  <c r="G17" i="118"/>
  <c r="G125" i="118" s="1"/>
  <c r="G18" i="118"/>
  <c r="G19" i="118"/>
  <c r="G20" i="118"/>
  <c r="G21" i="118"/>
  <c r="G22" i="118"/>
  <c r="G23" i="118"/>
  <c r="G24" i="118"/>
  <c r="G25" i="118"/>
  <c r="G133" i="118" s="1"/>
  <c r="G26" i="118"/>
  <c r="G27" i="118"/>
  <c r="G28" i="118"/>
  <c r="G29" i="118"/>
  <c r="G30" i="118"/>
  <c r="G14" i="118"/>
  <c r="V165" i="118"/>
  <c r="U165" i="118"/>
  <c r="T165" i="118"/>
  <c r="Q165" i="118"/>
  <c r="P165" i="118"/>
  <c r="O165" i="118"/>
  <c r="L165" i="118"/>
  <c r="K165" i="118"/>
  <c r="J165" i="118"/>
  <c r="B149" i="118"/>
  <c r="B150" i="118" s="1"/>
  <c r="B151" i="118" s="1"/>
  <c r="B152" i="118" s="1"/>
  <c r="B153" i="118" s="1"/>
  <c r="B154" i="118" s="1"/>
  <c r="B155" i="118" s="1"/>
  <c r="B156" i="118" s="1"/>
  <c r="B157" i="118" s="1"/>
  <c r="B158" i="118" s="1"/>
  <c r="B159" i="118" s="1"/>
  <c r="B160" i="118" s="1"/>
  <c r="B161" i="118" s="1"/>
  <c r="B162" i="118" s="1"/>
  <c r="B163" i="118" s="1"/>
  <c r="B164" i="118" s="1"/>
  <c r="L133" i="118"/>
  <c r="B123" i="118"/>
  <c r="B124" i="118" s="1"/>
  <c r="B125" i="118" s="1"/>
  <c r="B126" i="118" s="1"/>
  <c r="B127" i="118" s="1"/>
  <c r="B128" i="118" s="1"/>
  <c r="B129" i="118" s="1"/>
  <c r="B130" i="118" s="1"/>
  <c r="B131" i="118" s="1"/>
  <c r="B132" i="118" s="1"/>
  <c r="B133" i="118" s="1"/>
  <c r="B134" i="118" s="1"/>
  <c r="B135" i="118" s="1"/>
  <c r="B136" i="118" s="1"/>
  <c r="B137" i="118" s="1"/>
  <c r="B138" i="118" s="1"/>
  <c r="B96" i="118"/>
  <c r="B97" i="118" s="1"/>
  <c r="B98" i="118" s="1"/>
  <c r="B99" i="118" s="1"/>
  <c r="B100" i="118" s="1"/>
  <c r="B101" i="118" s="1"/>
  <c r="B102" i="118" s="1"/>
  <c r="B103" i="118" s="1"/>
  <c r="B104" i="118" s="1"/>
  <c r="B105" i="118" s="1"/>
  <c r="B106" i="118" s="1"/>
  <c r="B107" i="118" s="1"/>
  <c r="B108" i="118" s="1"/>
  <c r="B109" i="118" s="1"/>
  <c r="B110" i="118" s="1"/>
  <c r="B111" i="118" s="1"/>
  <c r="J86" i="118"/>
  <c r="O86" i="118" s="1"/>
  <c r="B69" i="118"/>
  <c r="B70" i="118" s="1"/>
  <c r="B71" i="118" s="1"/>
  <c r="B72" i="118" s="1"/>
  <c r="B73" i="118" s="1"/>
  <c r="B74" i="118" s="1"/>
  <c r="B75" i="118" s="1"/>
  <c r="B76" i="118" s="1"/>
  <c r="B77" i="118" s="1"/>
  <c r="B78" i="118" s="1"/>
  <c r="B79" i="118" s="1"/>
  <c r="B80" i="118" s="1"/>
  <c r="B81" i="118" s="1"/>
  <c r="B82" i="118" s="1"/>
  <c r="B83" i="118" s="1"/>
  <c r="B84" i="118" s="1"/>
  <c r="B41" i="118"/>
  <c r="B42" i="118" s="1"/>
  <c r="B43" i="118" s="1"/>
  <c r="B44" i="118" s="1"/>
  <c r="B45" i="118" s="1"/>
  <c r="B46" i="118" s="1"/>
  <c r="B47" i="118" s="1"/>
  <c r="B48" i="118" s="1"/>
  <c r="B49" i="118" s="1"/>
  <c r="B50" i="118" s="1"/>
  <c r="B51" i="118" s="1"/>
  <c r="B52" i="118" s="1"/>
  <c r="B53" i="118" s="1"/>
  <c r="B54" i="118" s="1"/>
  <c r="B55" i="118" s="1"/>
  <c r="B56" i="118" s="1"/>
  <c r="B15" i="118"/>
  <c r="B16" i="118" s="1"/>
  <c r="B17" i="118" s="1"/>
  <c r="B18" i="118" s="1"/>
  <c r="B19" i="118" s="1"/>
  <c r="B20" i="118" s="1"/>
  <c r="B21" i="118" s="1"/>
  <c r="B22" i="118" s="1"/>
  <c r="B23" i="118" s="1"/>
  <c r="B24" i="118" s="1"/>
  <c r="B25" i="118" s="1"/>
  <c r="B26" i="118" s="1"/>
  <c r="B27" i="118" s="1"/>
  <c r="B28" i="118" s="1"/>
  <c r="B29" i="118" s="1"/>
  <c r="B30" i="118" s="1"/>
  <c r="K5" i="118"/>
  <c r="K4" i="118"/>
  <c r="L124" i="118" l="1"/>
  <c r="Q129" i="118"/>
  <c r="L132" i="118"/>
  <c r="L129" i="118"/>
  <c r="G129" i="118"/>
  <c r="L122" i="118"/>
  <c r="G135" i="118"/>
  <c r="G127" i="118"/>
  <c r="L128" i="118"/>
  <c r="G122" i="118"/>
  <c r="L131" i="118"/>
  <c r="G130" i="118"/>
  <c r="L135" i="118"/>
  <c r="L127" i="118"/>
  <c r="G134" i="118"/>
  <c r="G126" i="118"/>
  <c r="L134" i="118"/>
  <c r="L126" i="118"/>
  <c r="Q137" i="118"/>
  <c r="V138" i="118"/>
  <c r="V122" i="118"/>
  <c r="G157" i="118"/>
  <c r="G149" i="118"/>
  <c r="Q128" i="118"/>
  <c r="Q123" i="118"/>
  <c r="Q131" i="118"/>
  <c r="L130" i="118"/>
  <c r="Q85" i="118"/>
  <c r="L125" i="118"/>
  <c r="L138" i="118"/>
  <c r="V124" i="118"/>
  <c r="G159" i="118"/>
  <c r="G136" i="118"/>
  <c r="G128" i="118"/>
  <c r="L136" i="118"/>
  <c r="V135" i="118"/>
  <c r="V131" i="118"/>
  <c r="V127" i="118"/>
  <c r="V31" i="118"/>
  <c r="G85" i="118"/>
  <c r="V132" i="118"/>
  <c r="G151" i="118"/>
  <c r="Q138" i="118"/>
  <c r="Q122" i="118"/>
  <c r="Q130" i="118"/>
  <c r="G132" i="118"/>
  <c r="G131" i="118"/>
  <c r="G123" i="118"/>
  <c r="V134" i="118"/>
  <c r="V85" i="118"/>
  <c r="T86" i="118"/>
  <c r="E113" i="118" s="1"/>
  <c r="G154" i="118"/>
  <c r="L112" i="118"/>
  <c r="V126" i="118"/>
  <c r="V112" i="118"/>
  <c r="V130" i="118"/>
  <c r="G161" i="118"/>
  <c r="G153" i="118"/>
  <c r="V136" i="118"/>
  <c r="V128" i="118"/>
  <c r="G164" i="118"/>
  <c r="G112" i="118"/>
  <c r="Q112" i="118"/>
  <c r="G162" i="118"/>
  <c r="G158" i="118"/>
  <c r="G150" i="118"/>
  <c r="Q124" i="118"/>
  <c r="Q132" i="118"/>
  <c r="Q136" i="118"/>
  <c r="L123" i="118"/>
  <c r="L85" i="118"/>
  <c r="L137" i="118"/>
  <c r="G138" i="118"/>
  <c r="G124" i="118"/>
  <c r="G137" i="118"/>
  <c r="Q57" i="118"/>
  <c r="L57" i="118"/>
  <c r="V57" i="118"/>
  <c r="G57" i="118"/>
  <c r="V123" i="118"/>
  <c r="G31" i="118"/>
  <c r="L31" i="118"/>
  <c r="Q31" i="118"/>
  <c r="B5" i="107"/>
  <c r="B4" i="106"/>
  <c r="Q139" i="118" l="1"/>
  <c r="L139" i="118"/>
  <c r="V139" i="118"/>
  <c r="G139" i="118"/>
  <c r="G165" i="118"/>
  <c r="B10" i="57"/>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3" i="57" s="1"/>
  <c r="B44" i="57" s="1"/>
  <c r="B45" i="57" s="1"/>
  <c r="B46" i="57" s="1"/>
  <c r="B47" i="57" s="1"/>
  <c r="B48" i="57" s="1"/>
  <c r="B49" i="57" s="1"/>
  <c r="B50" i="57" s="1"/>
  <c r="B51" i="57" s="1"/>
  <c r="B52" i="57" s="1"/>
  <c r="B53" i="57" s="1"/>
  <c r="B54" i="57" s="1"/>
  <c r="B55" i="57" s="1"/>
  <c r="B56" i="57" s="1"/>
  <c r="L2" i="116"/>
  <c r="C2" i="115"/>
  <c r="F2" i="114"/>
  <c r="G2" i="112"/>
  <c r="H3" i="111"/>
  <c r="H2" i="110"/>
  <c r="T39" i="116"/>
  <c r="C2" i="109"/>
  <c r="E2" i="108"/>
  <c r="B2" i="78"/>
  <c r="G85" i="104"/>
  <c r="L85" i="104"/>
  <c r="Q85" i="104"/>
  <c r="V85" i="104"/>
  <c r="AA85" i="104"/>
  <c r="F43" i="104"/>
  <c r="F44" i="104"/>
  <c r="F45" i="104"/>
  <c r="F46" i="104"/>
  <c r="F47" i="104"/>
  <c r="F48" i="104"/>
  <c r="F49" i="104"/>
  <c r="F50" i="104"/>
  <c r="F51" i="104"/>
  <c r="F52" i="104"/>
  <c r="F53" i="104"/>
  <c r="F54" i="104"/>
  <c r="F55" i="104"/>
  <c r="F56" i="104"/>
  <c r="F57" i="104"/>
  <c r="F58" i="104"/>
  <c r="F42" i="104"/>
  <c r="V59" i="104"/>
  <c r="Q59" i="104"/>
  <c r="L59" i="104"/>
  <c r="G59" i="104"/>
  <c r="AA31" i="104"/>
  <c r="V31" i="104"/>
  <c r="Q31" i="104"/>
  <c r="L31" i="104"/>
  <c r="B69" i="104"/>
  <c r="B70" i="104" s="1"/>
  <c r="B71" i="104" s="1"/>
  <c r="B72" i="104" s="1"/>
  <c r="B73" i="104" s="1"/>
  <c r="B74" i="104" s="1"/>
  <c r="B75" i="104" s="1"/>
  <c r="B76" i="104" s="1"/>
  <c r="B77" i="104" s="1"/>
  <c r="B78" i="104" s="1"/>
  <c r="B79" i="104" s="1"/>
  <c r="B80" i="104" s="1"/>
  <c r="B81" i="104" s="1"/>
  <c r="B82" i="104" s="1"/>
  <c r="B83" i="104" s="1"/>
  <c r="B84" i="104" s="1"/>
  <c r="B43" i="104"/>
  <c r="B44" i="104" s="1"/>
  <c r="B45" i="104" s="1"/>
  <c r="B46" i="104" s="1"/>
  <c r="B47" i="104" s="1"/>
  <c r="B48" i="104" s="1"/>
  <c r="B49" i="104" s="1"/>
  <c r="B50" i="104" s="1"/>
  <c r="B51" i="104" s="1"/>
  <c r="B52" i="104" s="1"/>
  <c r="B53" i="104" s="1"/>
  <c r="B54" i="104" s="1"/>
  <c r="B55" i="104" s="1"/>
  <c r="B56" i="104" s="1"/>
  <c r="B57" i="104" s="1"/>
  <c r="B58" i="104" s="1"/>
  <c r="G122" i="70"/>
  <c r="B15" i="104"/>
  <c r="B16" i="104" s="1"/>
  <c r="B17" i="104" s="1"/>
  <c r="B18" i="104" s="1"/>
  <c r="B19" i="104" s="1"/>
  <c r="B20" i="104" s="1"/>
  <c r="B21" i="104" s="1"/>
  <c r="B22" i="104" s="1"/>
  <c r="B23" i="104" s="1"/>
  <c r="B24" i="104" s="1"/>
  <c r="B25" i="104" s="1"/>
  <c r="B26" i="104" s="1"/>
  <c r="B27" i="104" s="1"/>
  <c r="B28" i="104" s="1"/>
  <c r="B29" i="104" s="1"/>
  <c r="B30" i="104" s="1"/>
  <c r="B15" i="107"/>
  <c r="B9" i="106"/>
  <c r="B10" i="106" s="1"/>
  <c r="B11" i="106" s="1"/>
  <c r="B12" i="106" s="1"/>
  <c r="B13" i="106" s="1"/>
  <c r="B14" i="106" s="1"/>
  <c r="B15" i="106" s="1"/>
  <c r="B16" i="106" s="1"/>
  <c r="B17" i="106" s="1"/>
  <c r="B18" i="106" s="1"/>
  <c r="B19" i="106" s="1"/>
  <c r="B20" i="106" s="1"/>
  <c r="B9" i="91"/>
  <c r="B10" i="91" s="1"/>
  <c r="B11" i="91" s="1"/>
  <c r="B12" i="91" s="1"/>
  <c r="B13" i="91" s="1"/>
  <c r="B14" i="91" s="1"/>
  <c r="B15" i="91" s="1"/>
  <c r="B16" i="91" s="1"/>
  <c r="B17" i="91" s="1"/>
  <c r="B18" i="91" s="1"/>
  <c r="B19" i="91" s="1"/>
  <c r="B20" i="91" s="1"/>
  <c r="B21" i="91" s="1"/>
  <c r="B22" i="91" s="1"/>
  <c r="B23" i="91" s="1"/>
  <c r="B24" i="91" s="1"/>
  <c r="B25" i="91" s="1"/>
  <c r="B26" i="91" s="1"/>
  <c r="B27" i="91" s="1"/>
  <c r="B64" i="55"/>
  <c r="B65" i="55" s="1"/>
  <c r="B55" i="55"/>
  <c r="B56" i="55" s="1"/>
  <c r="B57" i="55" s="1"/>
  <c r="B58" i="55" s="1"/>
  <c r="K5" i="70"/>
  <c r="P5" i="104"/>
  <c r="P4" i="104"/>
  <c r="K4" i="70"/>
  <c r="F59" i="104" l="1"/>
  <c r="K37" i="54" l="1"/>
  <c r="K38" i="54" s="1"/>
  <c r="K39" i="54" s="1"/>
  <c r="K47" i="54"/>
  <c r="K48" i="54" s="1"/>
  <c r="K49" i="54" s="1"/>
  <c r="K57" i="54"/>
  <c r="K58" i="54" s="1"/>
  <c r="K59" i="54" s="1"/>
  <c r="K67" i="54"/>
  <c r="K68" i="54" s="1"/>
  <c r="K69" i="54" s="1"/>
  <c r="K77" i="54"/>
  <c r="K78" i="54" s="1"/>
  <c r="K79" i="54" s="1"/>
  <c r="K87" i="54"/>
  <c r="K88" i="54" s="1"/>
  <c r="K89" i="54" s="1"/>
  <c r="K97" i="54"/>
  <c r="K98" i="54" s="1"/>
  <c r="K99" i="54" s="1"/>
  <c r="K107" i="54"/>
  <c r="K108" i="54" s="1"/>
  <c r="K109" i="54" s="1"/>
  <c r="L24" i="60" l="1"/>
  <c r="O30" i="81"/>
  <c r="O89" i="59" l="1"/>
  <c r="O91" i="59"/>
  <c r="O92" i="59"/>
  <c r="O90" i="59"/>
  <c r="I17" i="55" l="1"/>
  <c r="I20" i="61"/>
  <c r="G20" i="61"/>
  <c r="M35" i="59"/>
  <c r="M34" i="59"/>
  <c r="I35" i="59"/>
  <c r="I34" i="59"/>
  <c r="M41" i="59"/>
  <c r="N39" i="59"/>
  <c r="M37" i="81"/>
  <c r="M48" i="81" s="1"/>
  <c r="I12" i="59"/>
  <c r="I37" i="81"/>
  <c r="I48" i="81" s="1"/>
  <c r="N41" i="59" l="1"/>
  <c r="I41" i="59"/>
  <c r="J56" i="81"/>
  <c r="J12" i="59"/>
  <c r="J39" i="59"/>
  <c r="M25" i="59"/>
  <c r="M33" i="59" s="1"/>
  <c r="M20" i="59"/>
  <c r="N20" i="59" s="1"/>
  <c r="M12" i="59"/>
  <c r="N12" i="59" s="1"/>
  <c r="I25" i="59"/>
  <c r="J41" i="59" l="1"/>
  <c r="O20" i="59"/>
  <c r="Q20" i="59"/>
  <c r="P20" i="59"/>
  <c r="M36" i="59"/>
  <c r="M37" i="59" s="1"/>
  <c r="M28" i="59"/>
  <c r="I33" i="59"/>
  <c r="I36" i="59" s="1"/>
  <c r="I37" i="59" s="1"/>
  <c r="I28" i="59"/>
  <c r="E20" i="61" l="1"/>
  <c r="E23" i="59" l="1"/>
  <c r="E20" i="59"/>
  <c r="F20" i="59" s="1"/>
  <c r="G20" i="59"/>
  <c r="H20" i="59" l="1"/>
  <c r="D3" i="100" l="1"/>
  <c r="J35" i="81"/>
  <c r="E25" i="59"/>
  <c r="E33" i="59" l="1"/>
  <c r="E26" i="58" l="1"/>
  <c r="G11" i="81"/>
  <c r="N3" i="58" l="1"/>
  <c r="F11" i="59" l="1"/>
  <c r="E11" i="59" l="1"/>
  <c r="E11" i="81" s="1"/>
  <c r="F41" i="59"/>
  <c r="E64" i="59"/>
  <c r="E63" i="59"/>
  <c r="F39" i="59"/>
  <c r="F43" i="59" l="1"/>
  <c r="E24" i="60" s="1"/>
  <c r="E15" i="54" l="1"/>
  <c r="D18" i="54" l="1"/>
  <c r="E315" i="54" l="1"/>
  <c r="E41" i="81"/>
  <c r="E37" i="81"/>
  <c r="B375" i="98" l="1"/>
  <c r="B387" i="98" s="1"/>
  <c r="B337" i="98"/>
  <c r="B349" i="98" s="1"/>
  <c r="B299" i="98"/>
  <c r="B311" i="98" s="1"/>
  <c r="N35" i="81"/>
  <c r="N36" i="81"/>
  <c r="J39" i="81"/>
  <c r="J36" i="81"/>
  <c r="B11" i="66"/>
  <c r="B12" i="66" s="1"/>
  <c r="B13" i="66" s="1"/>
  <c r="B14" i="66" s="1"/>
  <c r="B15" i="66" s="1"/>
  <c r="B16" i="66" s="1"/>
  <c r="M49" i="74"/>
  <c r="L49" i="74"/>
  <c r="I49" i="74"/>
  <c r="H49" i="74"/>
  <c r="F49" i="74"/>
  <c r="E49" i="74"/>
  <c r="M40" i="74"/>
  <c r="L40" i="74"/>
  <c r="I40" i="74"/>
  <c r="H40" i="74"/>
  <c r="F40" i="74"/>
  <c r="E40" i="74"/>
  <c r="M31" i="74"/>
  <c r="L31" i="74"/>
  <c r="I31" i="74"/>
  <c r="H31" i="74"/>
  <c r="F31" i="74"/>
  <c r="E31" i="74"/>
  <c r="M22" i="74"/>
  <c r="L22" i="74"/>
  <c r="I22" i="74"/>
  <c r="H22" i="74"/>
  <c r="F22" i="74"/>
  <c r="E22" i="74"/>
  <c r="M11" i="74"/>
  <c r="L11" i="74"/>
  <c r="I11" i="74"/>
  <c r="H11" i="74"/>
  <c r="F11" i="74"/>
  <c r="E11" i="74"/>
  <c r="Q27" i="91"/>
  <c r="J18" i="55"/>
  <c r="H18" i="55"/>
  <c r="G18" i="55"/>
  <c r="M26" i="58"/>
  <c r="I26" i="58"/>
  <c r="J40" i="81" l="1"/>
  <c r="I18" i="55"/>
  <c r="L40" i="81" l="1"/>
  <c r="K22" i="58"/>
  <c r="G22" i="58"/>
  <c r="F22" i="58"/>
  <c r="W22" i="58"/>
  <c r="V22" i="58"/>
  <c r="U22" i="58"/>
  <c r="T22" i="58"/>
  <c r="S22" i="58"/>
  <c r="E21" i="58"/>
  <c r="B19" i="61"/>
  <c r="B20" i="61" s="1"/>
  <c r="B21" i="61" s="1"/>
  <c r="B22" i="61" s="1"/>
  <c r="B23" i="61" s="1"/>
  <c r="B24" i="61" s="1"/>
  <c r="B25" i="61" s="1"/>
  <c r="B26" i="61" s="1"/>
  <c r="B27" i="61" s="1"/>
  <c r="B28" i="61" s="1"/>
  <c r="B29" i="61" s="1"/>
  <c r="B30" i="61" s="1"/>
  <c r="B32" i="61" s="1"/>
  <c r="M51" i="74"/>
  <c r="L51" i="74"/>
  <c r="M42" i="74"/>
  <c r="L42" i="74"/>
  <c r="M33" i="74"/>
  <c r="L33" i="74"/>
  <c r="N55" i="73"/>
  <c r="M56" i="73"/>
  <c r="L56" i="73"/>
  <c r="N45" i="73" l="1"/>
  <c r="M46" i="73"/>
  <c r="Q17" i="91"/>
  <c r="B30" i="91"/>
  <c r="J12" i="61"/>
  <c r="J15" i="61"/>
  <c r="J16" i="61"/>
  <c r="J13" i="61"/>
  <c r="H15" i="61"/>
  <c r="H16" i="61"/>
  <c r="H12" i="61"/>
  <c r="H13" i="61"/>
  <c r="I10" i="61"/>
  <c r="G10" i="61"/>
  <c r="H10" i="61"/>
  <c r="B33" i="61"/>
  <c r="B34" i="61" s="1"/>
  <c r="B35" i="61" s="1"/>
  <c r="F40" i="81"/>
  <c r="F39" i="81"/>
  <c r="P111" i="59"/>
  <c r="O112" i="59"/>
  <c r="O111" i="59"/>
  <c r="O110" i="59"/>
  <c r="O109" i="59"/>
  <c r="O106" i="59"/>
  <c r="O105" i="59"/>
  <c r="O104" i="59"/>
  <c r="O86" i="59"/>
  <c r="O85" i="59"/>
  <c r="O84" i="59"/>
  <c r="O70" i="59"/>
  <c r="O35" i="59"/>
  <c r="O34" i="59"/>
  <c r="O33" i="59"/>
  <c r="E35" i="59"/>
  <c r="E34" i="59"/>
  <c r="J38" i="59"/>
  <c r="Q31" i="59"/>
  <c r="R31" i="59" s="1"/>
  <c r="E28" i="59"/>
  <c r="O32" i="59"/>
  <c r="B27" i="59"/>
  <c r="B28" i="59" s="1"/>
  <c r="H111" i="60"/>
  <c r="H110" i="60"/>
  <c r="H96" i="60"/>
  <c r="H95" i="60"/>
  <c r="E111" i="60"/>
  <c r="E110" i="60"/>
  <c r="E96" i="60"/>
  <c r="E95" i="60"/>
  <c r="E36" i="59" l="1"/>
  <c r="E37" i="59" s="1"/>
  <c r="H40" i="81"/>
  <c r="O113" i="59"/>
  <c r="H39" i="81"/>
  <c r="L46" i="73"/>
  <c r="O36" i="59"/>
  <c r="O37" i="59" l="1"/>
  <c r="W111" i="59" l="1"/>
  <c r="V111" i="59"/>
  <c r="U111" i="59"/>
  <c r="T111" i="59"/>
  <c r="S111" i="59"/>
  <c r="T131" i="59" l="1"/>
  <c r="U131" i="59"/>
  <c r="V131" i="59"/>
  <c r="W131" i="59"/>
  <c r="T137" i="59"/>
  <c r="U137" i="59"/>
  <c r="V137" i="59"/>
  <c r="W137" i="59"/>
  <c r="S137" i="59"/>
  <c r="S131" i="59"/>
  <c r="T80" i="59"/>
  <c r="T123" i="59" s="1"/>
  <c r="U80" i="59"/>
  <c r="U123" i="59" s="1"/>
  <c r="V80" i="59"/>
  <c r="V123" i="59" s="1"/>
  <c r="W80" i="59"/>
  <c r="W123" i="59" s="1"/>
  <c r="S80" i="59"/>
  <c r="S123" i="59" s="1"/>
  <c r="S31" i="81"/>
  <c r="S21" i="81"/>
  <c r="S22" i="81"/>
  <c r="S19" i="81"/>
  <c r="S18" i="81"/>
  <c r="K12" i="59"/>
  <c r="Q15" i="59"/>
  <c r="O24" i="59"/>
  <c r="M21" i="58"/>
  <c r="I21" i="58"/>
  <c r="O25" i="71" l="1"/>
  <c r="Q38" i="59"/>
  <c r="N38" i="59" s="1"/>
  <c r="O65" i="71"/>
  <c r="O57" i="71"/>
  <c r="O49" i="71"/>
  <c r="D14" i="93"/>
  <c r="D12" i="55" s="1"/>
  <c r="L13" i="54"/>
  <c r="L14" i="54"/>
  <c r="L20" i="54"/>
  <c r="L33" i="54"/>
  <c r="L34" i="54"/>
  <c r="L35" i="54"/>
  <c r="L36" i="54"/>
  <c r="L37" i="54"/>
  <c r="L38" i="54"/>
  <c r="L40" i="54"/>
  <c r="L43" i="54"/>
  <c r="L44" i="54"/>
  <c r="L45" i="54"/>
  <c r="L46" i="54"/>
  <c r="L47" i="54"/>
  <c r="L48" i="54"/>
  <c r="L50" i="54"/>
  <c r="L53" i="54"/>
  <c r="L54" i="54"/>
  <c r="L55" i="54"/>
  <c r="L56" i="54"/>
  <c r="L57" i="54"/>
  <c r="L58" i="54"/>
  <c r="L60" i="54"/>
  <c r="L63" i="54"/>
  <c r="L64" i="54"/>
  <c r="L65" i="54"/>
  <c r="L66" i="54"/>
  <c r="L67" i="54"/>
  <c r="L68" i="54"/>
  <c r="L70" i="54"/>
  <c r="L73" i="54"/>
  <c r="L74" i="54"/>
  <c r="L75" i="54"/>
  <c r="L76" i="54"/>
  <c r="L77" i="54"/>
  <c r="L78" i="54"/>
  <c r="L80" i="54"/>
  <c r="L83" i="54"/>
  <c r="L84" i="54"/>
  <c r="L85" i="54"/>
  <c r="L86" i="54"/>
  <c r="L87" i="54"/>
  <c r="L88" i="54"/>
  <c r="L90" i="54"/>
  <c r="L93" i="54"/>
  <c r="L94" i="54"/>
  <c r="L95" i="54"/>
  <c r="L96" i="54"/>
  <c r="L97" i="54"/>
  <c r="L98" i="54"/>
  <c r="L100" i="54"/>
  <c r="L103" i="54"/>
  <c r="L104" i="54"/>
  <c r="L105" i="54"/>
  <c r="L106" i="54"/>
  <c r="L107" i="54"/>
  <c r="L108" i="54"/>
  <c r="L110" i="54"/>
  <c r="K116" i="54"/>
  <c r="K117" i="54"/>
  <c r="K118" i="54"/>
  <c r="K119" i="54"/>
  <c r="K121" i="54"/>
  <c r="K123" i="54"/>
  <c r="K126" i="54" s="1"/>
  <c r="K128" i="54" s="1"/>
  <c r="L140" i="54"/>
  <c r="L141" i="54"/>
  <c r="L142" i="54"/>
  <c r="K265" i="54"/>
  <c r="K144" i="54"/>
  <c r="L144" i="54" s="1"/>
  <c r="K146" i="54"/>
  <c r="L145" i="54"/>
  <c r="L147" i="54"/>
  <c r="K262" i="54"/>
  <c r="L151" i="54"/>
  <c r="L152" i="54"/>
  <c r="L153" i="54"/>
  <c r="K154" i="54"/>
  <c r="L154" i="54" s="1"/>
  <c r="L155" i="54"/>
  <c r="L157" i="54"/>
  <c r="L160" i="54"/>
  <c r="L161" i="54"/>
  <c r="L162" i="54"/>
  <c r="L163" i="54"/>
  <c r="K164" i="54"/>
  <c r="L164" i="54" s="1"/>
  <c r="L165" i="54"/>
  <c r="K166" i="54"/>
  <c r="L167" i="54"/>
  <c r="L170" i="54"/>
  <c r="L171" i="54"/>
  <c r="L172" i="54"/>
  <c r="L173" i="54"/>
  <c r="K174" i="54"/>
  <c r="L174" i="54" s="1"/>
  <c r="L175" i="54"/>
  <c r="K176" i="54"/>
  <c r="K269" i="54"/>
  <c r="K272" i="54" s="1"/>
  <c r="K274" i="54" s="1"/>
  <c r="L180" i="54"/>
  <c r="L181" i="54"/>
  <c r="L182" i="54"/>
  <c r="L183" i="54"/>
  <c r="K184" i="54"/>
  <c r="L184" i="54" s="1"/>
  <c r="K186" i="54"/>
  <c r="L187" i="54"/>
  <c r="L190" i="54"/>
  <c r="L191" i="54"/>
  <c r="L192" i="54"/>
  <c r="L193" i="54"/>
  <c r="K194" i="54"/>
  <c r="L194" i="54" s="1"/>
  <c r="K196" i="54"/>
  <c r="L195" i="54"/>
  <c r="L197" i="54"/>
  <c r="L200" i="54"/>
  <c r="L201" i="54"/>
  <c r="L202" i="54"/>
  <c r="L203" i="54"/>
  <c r="K204" i="54"/>
  <c r="L204" i="54" s="1"/>
  <c r="K206" i="54"/>
  <c r="L205" i="54"/>
  <c r="L207" i="54"/>
  <c r="L210" i="54"/>
  <c r="L211" i="54"/>
  <c r="L212" i="54"/>
  <c r="L213" i="54"/>
  <c r="K214" i="54"/>
  <c r="L214" i="54" s="1"/>
  <c r="K216" i="54"/>
  <c r="L217" i="54"/>
  <c r="L220" i="54"/>
  <c r="L221" i="54"/>
  <c r="L222" i="54"/>
  <c r="L223" i="54"/>
  <c r="K224" i="54"/>
  <c r="L224" i="54" s="1"/>
  <c r="K226" i="54"/>
  <c r="L225" i="54"/>
  <c r="L227" i="54"/>
  <c r="L230" i="54"/>
  <c r="L231" i="54"/>
  <c r="L232" i="54"/>
  <c r="L233" i="54"/>
  <c r="K234" i="54"/>
  <c r="L234" i="54" s="1"/>
  <c r="L235" i="54"/>
  <c r="K236" i="54"/>
  <c r="L237" i="54"/>
  <c r="L240" i="54"/>
  <c r="L241" i="54"/>
  <c r="L242" i="54"/>
  <c r="L243" i="54"/>
  <c r="K244" i="54"/>
  <c r="L244" i="54" s="1"/>
  <c r="L245" i="54"/>
  <c r="K246" i="54"/>
  <c r="L247" i="54"/>
  <c r="L250" i="54"/>
  <c r="L251" i="54"/>
  <c r="L252" i="54"/>
  <c r="L253" i="54"/>
  <c r="K254" i="54"/>
  <c r="L254" i="54" s="1"/>
  <c r="K256" i="54"/>
  <c r="L255" i="54"/>
  <c r="L257" i="54"/>
  <c r="K264" i="54"/>
  <c r="K288" i="54"/>
  <c r="K290" i="54"/>
  <c r="K298" i="54"/>
  <c r="K300" i="54"/>
  <c r="V165" i="70"/>
  <c r="U165" i="70"/>
  <c r="T165" i="70"/>
  <c r="Q165" i="70"/>
  <c r="P165" i="70"/>
  <c r="O165" i="70"/>
  <c r="L165" i="70"/>
  <c r="K165" i="70"/>
  <c r="J165" i="70"/>
  <c r="V112" i="70"/>
  <c r="Q112" i="70"/>
  <c r="L112" i="70"/>
  <c r="G148" i="70"/>
  <c r="G149" i="70"/>
  <c r="G150" i="70"/>
  <c r="G151" i="70"/>
  <c r="G152" i="70"/>
  <c r="G153" i="70"/>
  <c r="G154" i="70"/>
  <c r="G155" i="70"/>
  <c r="G156" i="70"/>
  <c r="G157" i="70"/>
  <c r="G158" i="70"/>
  <c r="G159" i="70"/>
  <c r="G160" i="70"/>
  <c r="G161" i="70"/>
  <c r="G162" i="70"/>
  <c r="G163" i="70"/>
  <c r="G164" i="70"/>
  <c r="V57" i="70"/>
  <c r="Q57" i="70"/>
  <c r="L57" i="70"/>
  <c r="V31" i="70"/>
  <c r="G57" i="70"/>
  <c r="V85" i="70"/>
  <c r="G112" i="70"/>
  <c r="L146" i="54" l="1"/>
  <c r="L109" i="54"/>
  <c r="L99" i="54"/>
  <c r="L89" i="54"/>
  <c r="L79" i="54"/>
  <c r="L49" i="54"/>
  <c r="L39" i="54"/>
  <c r="L69" i="54"/>
  <c r="D17" i="54"/>
  <c r="L256" i="54"/>
  <c r="L246" i="54"/>
  <c r="L156" i="54"/>
  <c r="K122" i="54"/>
  <c r="G165" i="70"/>
  <c r="K120" i="54"/>
  <c r="K266" i="54"/>
  <c r="L59" i="54"/>
  <c r="L236" i="54"/>
  <c r="L226" i="54"/>
  <c r="L206" i="54"/>
  <c r="L196" i="54"/>
  <c r="L166" i="54"/>
  <c r="L177" i="54"/>
  <c r="L176" i="54" s="1"/>
  <c r="L150" i="54"/>
  <c r="L143" i="54"/>
  <c r="K267" i="54"/>
  <c r="L215" i="54"/>
  <c r="L216" i="54" s="1"/>
  <c r="L185" i="54"/>
  <c r="L186" i="54" s="1"/>
  <c r="K156" i="54"/>
  <c r="K268" i="54" s="1"/>
  <c r="K263" i="54"/>
  <c r="H11" i="67"/>
  <c r="H14" i="58"/>
  <c r="L14" i="58"/>
  <c r="E39" i="67" l="1"/>
  <c r="I11" i="80" l="1"/>
  <c r="F11" i="80"/>
  <c r="M11" i="58"/>
  <c r="I11" i="58"/>
  <c r="R14" i="58"/>
  <c r="P22" i="81" l="1"/>
  <c r="O22" i="81"/>
  <c r="P21" i="81"/>
  <c r="O21" i="81"/>
  <c r="P19" i="81"/>
  <c r="O19" i="81"/>
  <c r="P18" i="81"/>
  <c r="O18" i="81"/>
  <c r="H37" i="67" l="1"/>
  <c r="H33" i="67"/>
  <c r="H31" i="67"/>
  <c r="H30" i="67"/>
  <c r="H28" i="67"/>
  <c r="H27" i="67"/>
  <c r="H26" i="67"/>
  <c r="H25" i="67"/>
  <c r="H24" i="67"/>
  <c r="H23" i="67"/>
  <c r="H21" i="67"/>
  <c r="H20" i="67"/>
  <c r="H19" i="67"/>
  <c r="H18" i="67"/>
  <c r="H17" i="67"/>
  <c r="H15" i="67"/>
  <c r="H14" i="67"/>
  <c r="O22" i="58" l="1"/>
  <c r="P22" i="58" l="1"/>
  <c r="Q22" i="58" s="1"/>
  <c r="Q136" i="59"/>
  <c r="Q135" i="59"/>
  <c r="Q134" i="59"/>
  <c r="Q137" i="59" l="1"/>
  <c r="P131" i="59" l="1"/>
  <c r="O131" i="59"/>
  <c r="Q130" i="59"/>
  <c r="Q129" i="59"/>
  <c r="Q128" i="59"/>
  <c r="Q131" i="59" l="1"/>
  <c r="Q49" i="81" l="1"/>
  <c r="R49" i="81" s="1"/>
  <c r="L49" i="81"/>
  <c r="L39" i="81"/>
  <c r="L35" i="81"/>
  <c r="F150" i="59" l="1"/>
  <c r="H150" i="59" s="1"/>
  <c r="F149" i="59"/>
  <c r="H149" i="59" s="1"/>
  <c r="F148" i="59"/>
  <c r="H148" i="59" s="1"/>
  <c r="F147" i="59"/>
  <c r="H147" i="59" s="1"/>
  <c r="F146" i="59"/>
  <c r="H146" i="59" s="1"/>
  <c r="F145" i="59"/>
  <c r="H145" i="59" s="1"/>
  <c r="F144" i="59"/>
  <c r="H144" i="59" s="1"/>
  <c r="F143" i="59"/>
  <c r="H143" i="59" s="1"/>
  <c r="F142" i="59"/>
  <c r="H142" i="59" s="1"/>
  <c r="P137" i="59"/>
  <c r="O137" i="59"/>
  <c r="K137" i="59"/>
  <c r="H137" i="59"/>
  <c r="G137" i="59"/>
  <c r="J136" i="59"/>
  <c r="L136" i="59" s="1"/>
  <c r="F136" i="59"/>
  <c r="J135" i="59"/>
  <c r="L135" i="59" s="1"/>
  <c r="F135" i="59"/>
  <c r="J134" i="59"/>
  <c r="F134" i="59"/>
  <c r="K131" i="59"/>
  <c r="G131" i="59"/>
  <c r="J130" i="59"/>
  <c r="L130" i="59" s="1"/>
  <c r="F130" i="59"/>
  <c r="H130" i="59" s="1"/>
  <c r="J129" i="59"/>
  <c r="L129" i="59" s="1"/>
  <c r="F129" i="59"/>
  <c r="H129" i="59" s="1"/>
  <c r="J128" i="59"/>
  <c r="F128" i="59"/>
  <c r="Q111" i="59"/>
  <c r="L38" i="59"/>
  <c r="Q30" i="59"/>
  <c r="R30" i="59" s="1"/>
  <c r="R22" i="59"/>
  <c r="L22" i="59"/>
  <c r="H22" i="59"/>
  <c r="Q19" i="59"/>
  <c r="Q18" i="59"/>
  <c r="Q16" i="59"/>
  <c r="F131" i="59" l="1"/>
  <c r="H128" i="59"/>
  <c r="H131" i="59" s="1"/>
  <c r="J131" i="59"/>
  <c r="L128" i="59"/>
  <c r="L131" i="59" s="1"/>
  <c r="F137" i="59"/>
  <c r="Q141" i="59"/>
  <c r="N141" i="59" s="1"/>
  <c r="R141" i="59" s="1"/>
  <c r="Q142" i="59"/>
  <c r="N142" i="59" s="1"/>
  <c r="R142" i="59" s="1"/>
  <c r="Q146" i="59"/>
  <c r="N146" i="59" s="1"/>
  <c r="R146" i="59" s="1"/>
  <c r="Q150" i="59"/>
  <c r="N150" i="59" s="1"/>
  <c r="R150" i="59" s="1"/>
  <c r="Q140" i="59"/>
  <c r="Q144" i="59"/>
  <c r="N144" i="59" s="1"/>
  <c r="R144" i="59" s="1"/>
  <c r="Q148" i="59"/>
  <c r="N148" i="59" s="1"/>
  <c r="R148" i="59" s="1"/>
  <c r="Q152" i="59"/>
  <c r="N152" i="59" s="1"/>
  <c r="R152" i="59" s="1"/>
  <c r="Q143" i="59"/>
  <c r="N143" i="59" s="1"/>
  <c r="R143" i="59" s="1"/>
  <c r="Q147" i="59"/>
  <c r="N147" i="59" s="1"/>
  <c r="R147" i="59" s="1"/>
  <c r="Q151" i="59"/>
  <c r="N151" i="59" s="1"/>
  <c r="R151" i="59" s="1"/>
  <c r="Q145" i="59"/>
  <c r="N145" i="59" s="1"/>
  <c r="R145" i="59" s="1"/>
  <c r="Q149" i="59"/>
  <c r="N149" i="59" s="1"/>
  <c r="R149" i="59" s="1"/>
  <c r="P153" i="59"/>
  <c r="F151" i="59"/>
  <c r="H151" i="59" s="1"/>
  <c r="O153" i="59"/>
  <c r="J137" i="59"/>
  <c r="L134" i="59"/>
  <c r="L137" i="59" s="1"/>
  <c r="F152" i="59"/>
  <c r="H152" i="59" s="1"/>
  <c r="Q101" i="59"/>
  <c r="N140" i="59" l="1"/>
  <c r="Q153" i="59"/>
  <c r="N153" i="59" l="1"/>
  <c r="R140" i="59"/>
  <c r="R153" i="59" s="1"/>
  <c r="B58" i="78" l="1"/>
  <c r="B59" i="78" s="1"/>
  <c r="G19" i="78"/>
  <c r="B29" i="78"/>
  <c r="B30" i="78" s="1"/>
  <c r="P15" i="65"/>
  <c r="O15" i="65"/>
  <c r="K15" i="65"/>
  <c r="L15" i="65" s="1"/>
  <c r="G15" i="65"/>
  <c r="Q16" i="65"/>
  <c r="R16" i="65" s="1"/>
  <c r="L16" i="65"/>
  <c r="H16" i="65"/>
  <c r="Q15" i="65" l="1"/>
  <c r="R15" i="65" s="1"/>
  <c r="H15" i="65"/>
  <c r="V138" i="70" l="1"/>
  <c r="Q138" i="70"/>
  <c r="V137" i="70"/>
  <c r="Q137" i="70"/>
  <c r="V136" i="70"/>
  <c r="Q136" i="70"/>
  <c r="V135" i="70"/>
  <c r="Q135" i="70"/>
  <c r="V134" i="70"/>
  <c r="Q134" i="70"/>
  <c r="L138" i="70"/>
  <c r="G138" i="70"/>
  <c r="L137" i="70"/>
  <c r="G137" i="70"/>
  <c r="L136" i="70"/>
  <c r="G136" i="70"/>
  <c r="L135" i="70"/>
  <c r="G135" i="70"/>
  <c r="L134" i="70"/>
  <c r="G134" i="70"/>
  <c r="Q85" i="70"/>
  <c r="L85" i="70"/>
  <c r="G85" i="70"/>
  <c r="Q31" i="70" l="1"/>
  <c r="L31" i="70"/>
  <c r="G31" i="70"/>
  <c r="Q18" i="81" l="1"/>
  <c r="Q19" i="81"/>
  <c r="Q21" i="81"/>
  <c r="Q22" i="81"/>
  <c r="L138" i="60" l="1"/>
  <c r="L125" i="60"/>
  <c r="O81" i="59" l="1"/>
  <c r="O80" i="59"/>
  <c r="O123" i="59" l="1"/>
  <c r="O124" i="59"/>
  <c r="B116" i="60"/>
  <c r="B117" i="60" s="1"/>
  <c r="B118" i="60" s="1"/>
  <c r="B119" i="60" s="1"/>
  <c r="B120" i="60" s="1"/>
  <c r="B121" i="60" s="1"/>
  <c r="B122" i="60" s="1"/>
  <c r="B123" i="60" s="1"/>
  <c r="B124" i="60" s="1"/>
  <c r="B129" i="60"/>
  <c r="B130" i="60" s="1"/>
  <c r="B131" i="60" s="1"/>
  <c r="B132" i="60" s="1"/>
  <c r="B133" i="60" s="1"/>
  <c r="B134" i="60" s="1"/>
  <c r="B135" i="60" s="1"/>
  <c r="B136" i="60" s="1"/>
  <c r="B137" i="60" s="1"/>
  <c r="B44" i="60"/>
  <c r="B45" i="60" s="1"/>
  <c r="B46" i="60" s="1"/>
  <c r="B47" i="60" s="1"/>
  <c r="B48" i="60" s="1"/>
  <c r="B49" i="60" s="1"/>
  <c r="B50" i="60" s="1"/>
  <c r="B51" i="60" s="1"/>
  <c r="B52" i="60" s="1"/>
  <c r="B53" i="60" s="1"/>
  <c r="I10" i="93" l="1"/>
  <c r="F10" i="93"/>
  <c r="H35" i="67" l="1"/>
  <c r="H43" i="68"/>
  <c r="Q55" i="91" l="1"/>
  <c r="Q43" i="91"/>
  <c r="M21" i="75" l="1"/>
  <c r="M19" i="75"/>
  <c r="M18" i="75"/>
  <c r="M17" i="75"/>
  <c r="M14" i="75"/>
  <c r="M12" i="75"/>
  <c r="M10" i="75"/>
  <c r="Q256" i="54"/>
  <c r="N256" i="54"/>
  <c r="Q254" i="54"/>
  <c r="N254" i="54"/>
  <c r="Q246" i="54"/>
  <c r="N246" i="54"/>
  <c r="Q244" i="54"/>
  <c r="N244" i="54"/>
  <c r="Q236" i="54"/>
  <c r="N236" i="54"/>
  <c r="Q234" i="54"/>
  <c r="N234" i="54"/>
  <c r="Q226" i="54"/>
  <c r="N226" i="54"/>
  <c r="Q224" i="54"/>
  <c r="N224" i="54"/>
  <c r="Q216" i="54"/>
  <c r="N216" i="54"/>
  <c r="Q214" i="54"/>
  <c r="N214" i="54"/>
  <c r="Q206" i="54"/>
  <c r="N206" i="54"/>
  <c r="Q204" i="54"/>
  <c r="N204" i="54"/>
  <c r="Q196" i="54"/>
  <c r="N196" i="54"/>
  <c r="Q194" i="54"/>
  <c r="N194" i="54"/>
  <c r="Q186" i="54"/>
  <c r="N186" i="54"/>
  <c r="Q184" i="54"/>
  <c r="N184" i="54"/>
  <c r="Q176" i="54"/>
  <c r="N176" i="54"/>
  <c r="Q174" i="54"/>
  <c r="N174" i="54"/>
  <c r="Q166" i="54"/>
  <c r="N166" i="54"/>
  <c r="Q164" i="54"/>
  <c r="N164" i="54"/>
  <c r="Q156" i="54"/>
  <c r="N156" i="54"/>
  <c r="Q154" i="54"/>
  <c r="N154" i="54"/>
  <c r="Q146" i="54"/>
  <c r="N146" i="54"/>
  <c r="Q144" i="54"/>
  <c r="N144" i="54"/>
  <c r="Q109" i="54"/>
  <c r="N109" i="54"/>
  <c r="Q107" i="54"/>
  <c r="N107" i="54"/>
  <c r="Q99" i="54"/>
  <c r="N99" i="54"/>
  <c r="Q97" i="54"/>
  <c r="N97" i="54"/>
  <c r="Q89" i="54"/>
  <c r="N89" i="54"/>
  <c r="Q87" i="54"/>
  <c r="N87" i="54"/>
  <c r="Q79" i="54"/>
  <c r="N79" i="54"/>
  <c r="Q77" i="54"/>
  <c r="N77" i="54"/>
  <c r="Q69" i="54"/>
  <c r="N69" i="54"/>
  <c r="Q67" i="54"/>
  <c r="N67" i="54"/>
  <c r="Q59" i="54"/>
  <c r="N59" i="54"/>
  <c r="Q57" i="54"/>
  <c r="N57" i="54"/>
  <c r="Q49" i="54"/>
  <c r="N49" i="54"/>
  <c r="Q47" i="54"/>
  <c r="N47" i="54"/>
  <c r="Q39" i="54"/>
  <c r="N39" i="54"/>
  <c r="Q37" i="54"/>
  <c r="N37" i="54"/>
  <c r="J111" i="60" l="1"/>
  <c r="G111" i="60"/>
  <c r="J110" i="60"/>
  <c r="G110" i="60"/>
  <c r="J96" i="60"/>
  <c r="G96" i="60"/>
  <c r="J95" i="60"/>
  <c r="G95" i="60"/>
  <c r="O25" i="60"/>
  <c r="J25" i="60"/>
  <c r="G25" i="60"/>
  <c r="B36" i="67" l="1"/>
  <c r="B37" i="67" s="1"/>
  <c r="B38" i="67" s="1"/>
  <c r="B39" i="67" s="1"/>
  <c r="B40" i="67" s="1"/>
  <c r="B12" i="68" l="1"/>
  <c r="B13" i="68" s="1"/>
  <c r="B14" i="68" s="1"/>
  <c r="B15" i="68" s="1"/>
  <c r="B16" i="68" s="1"/>
  <c r="B17" i="68" s="1"/>
  <c r="B18" i="68" s="1"/>
  <c r="B19" i="68" s="1"/>
  <c r="B20" i="68" s="1"/>
  <c r="B21" i="68" s="1"/>
  <c r="B22" i="68" s="1"/>
  <c r="B23" i="68" s="1"/>
  <c r="B24" i="68" s="1"/>
  <c r="B25" i="68" s="1"/>
  <c r="B26" i="68" s="1"/>
  <c r="B27" i="68" s="1"/>
  <c r="B28" i="68" s="1"/>
  <c r="B29" i="68" s="1"/>
  <c r="B30" i="68" s="1"/>
  <c r="B31" i="68" s="1"/>
  <c r="B32" i="68" s="1"/>
  <c r="B33" i="68" s="1"/>
  <c r="B34" i="68" s="1"/>
  <c r="B35" i="68" s="1"/>
  <c r="B36" i="68" s="1"/>
  <c r="B37" i="68" s="1"/>
  <c r="B38" i="68" s="1"/>
  <c r="B39" i="68" s="1"/>
  <c r="B40" i="68" s="1"/>
  <c r="B41" i="68" s="1"/>
  <c r="B42" i="68" s="1"/>
  <c r="B43" i="68" s="1"/>
  <c r="B44" i="68" s="1"/>
  <c r="B45" i="68" s="1"/>
  <c r="B46" i="68" s="1"/>
  <c r="Q269" i="54" l="1"/>
  <c r="Q267" i="54"/>
  <c r="Q265" i="54"/>
  <c r="Q264" i="54"/>
  <c r="Q263" i="54"/>
  <c r="Q262" i="54"/>
  <c r="N269" i="54"/>
  <c r="N267" i="54"/>
  <c r="N265" i="54"/>
  <c r="N264" i="54"/>
  <c r="N263" i="54"/>
  <c r="N262" i="54"/>
  <c r="B250" i="54"/>
  <c r="B251" i="54" s="1"/>
  <c r="B252" i="54" s="1"/>
  <c r="B253" i="54" s="1"/>
  <c r="B254" i="54" s="1"/>
  <c r="B255" i="54" s="1"/>
  <c r="B256" i="54" s="1"/>
  <c r="B257" i="54" s="1"/>
  <c r="B240" i="54"/>
  <c r="B241" i="54" s="1"/>
  <c r="B242" i="54" s="1"/>
  <c r="B243" i="54" s="1"/>
  <c r="B244" i="54" s="1"/>
  <c r="B245" i="54" s="1"/>
  <c r="B246" i="54" s="1"/>
  <c r="B247" i="54" s="1"/>
  <c r="B230" i="54"/>
  <c r="B231" i="54" s="1"/>
  <c r="B232" i="54" s="1"/>
  <c r="B233" i="54" s="1"/>
  <c r="B234" i="54" s="1"/>
  <c r="B235" i="54" s="1"/>
  <c r="B236" i="54" s="1"/>
  <c r="B237" i="54" s="1"/>
  <c r="B220" i="54"/>
  <c r="B221" i="54" s="1"/>
  <c r="B222" i="54" s="1"/>
  <c r="B223" i="54" s="1"/>
  <c r="B224" i="54" s="1"/>
  <c r="B225" i="54" s="1"/>
  <c r="B226" i="54" s="1"/>
  <c r="B227" i="54" s="1"/>
  <c r="Q300" i="54" l="1"/>
  <c r="N300" i="54"/>
  <c r="H300" i="54"/>
  <c r="Q298" i="54"/>
  <c r="N298" i="54"/>
  <c r="H298" i="54"/>
  <c r="E298" i="54"/>
  <c r="E299" i="54" s="1"/>
  <c r="E300" i="54" s="1"/>
  <c r="Q290" i="54"/>
  <c r="N290" i="54"/>
  <c r="H290" i="54"/>
  <c r="Q288" i="54"/>
  <c r="N288" i="54"/>
  <c r="H288" i="54"/>
  <c r="E288" i="54"/>
  <c r="E289" i="54" s="1"/>
  <c r="E290" i="54" s="1"/>
  <c r="Q272" i="54" l="1"/>
  <c r="Q274" i="54" s="1"/>
  <c r="N272" i="54"/>
  <c r="N274" i="54" s="1"/>
  <c r="B262" i="54"/>
  <c r="B263" i="54" s="1"/>
  <c r="B264" i="54" s="1"/>
  <c r="B265" i="54" s="1"/>
  <c r="B266" i="54" s="1"/>
  <c r="B267" i="54" s="1"/>
  <c r="B268" i="54" s="1"/>
  <c r="B269" i="54" s="1"/>
  <c r="B210" i="54"/>
  <c r="B211" i="54" s="1"/>
  <c r="B212" i="54" s="1"/>
  <c r="B213" i="54" s="1"/>
  <c r="B214" i="54" s="1"/>
  <c r="B215" i="54" s="1"/>
  <c r="B216" i="54" s="1"/>
  <c r="B217" i="54" s="1"/>
  <c r="B200" i="54"/>
  <c r="B201" i="54" s="1"/>
  <c r="B202" i="54" s="1"/>
  <c r="B203" i="54" s="1"/>
  <c r="B204" i="54" s="1"/>
  <c r="B205" i="54" s="1"/>
  <c r="B206" i="54" s="1"/>
  <c r="B207" i="54" s="1"/>
  <c r="B190" i="54"/>
  <c r="B191" i="54" s="1"/>
  <c r="B192" i="54" s="1"/>
  <c r="B193" i="54" s="1"/>
  <c r="B194" i="54" s="1"/>
  <c r="B195" i="54" s="1"/>
  <c r="B196" i="54" s="1"/>
  <c r="B197" i="54" s="1"/>
  <c r="B180" i="54"/>
  <c r="B181" i="54" s="1"/>
  <c r="B182" i="54" s="1"/>
  <c r="B183" i="54" s="1"/>
  <c r="B184" i="54" s="1"/>
  <c r="B185" i="54" s="1"/>
  <c r="B186" i="54" s="1"/>
  <c r="B187" i="54" s="1"/>
  <c r="B170" i="54"/>
  <c r="B171" i="54" s="1"/>
  <c r="B172" i="54" s="1"/>
  <c r="B173" i="54" s="1"/>
  <c r="B174" i="54" s="1"/>
  <c r="B175" i="54" s="1"/>
  <c r="B176" i="54" s="1"/>
  <c r="B177" i="54" s="1"/>
  <c r="B160" i="54"/>
  <c r="B161" i="54" s="1"/>
  <c r="B162" i="54" s="1"/>
  <c r="B163" i="54" s="1"/>
  <c r="B164" i="54" s="1"/>
  <c r="B165" i="54" s="1"/>
  <c r="B166" i="54" s="1"/>
  <c r="B167" i="54" s="1"/>
  <c r="B150" i="54"/>
  <c r="B151" i="54" s="1"/>
  <c r="B152" i="54" s="1"/>
  <c r="B153" i="54" s="1"/>
  <c r="B154" i="54" s="1"/>
  <c r="B155" i="54" s="1"/>
  <c r="B156" i="54" s="1"/>
  <c r="B157" i="54" s="1"/>
  <c r="Q268" i="54"/>
  <c r="B141" i="54"/>
  <c r="B142" i="54" s="1"/>
  <c r="B143" i="54" s="1"/>
  <c r="B144" i="54" s="1"/>
  <c r="B145" i="54" s="1"/>
  <c r="B146" i="54" s="1"/>
  <c r="B147" i="54" s="1"/>
  <c r="Q123" i="54"/>
  <c r="Q121" i="54"/>
  <c r="Q119" i="54"/>
  <c r="Q118" i="54"/>
  <c r="Q117" i="54"/>
  <c r="Q116" i="54"/>
  <c r="N123" i="54"/>
  <c r="N126" i="54" s="1"/>
  <c r="N128" i="54" s="1"/>
  <c r="N121" i="54"/>
  <c r="N119" i="54"/>
  <c r="N118" i="54"/>
  <c r="N117" i="54"/>
  <c r="N116" i="54"/>
  <c r="Q122" i="54"/>
  <c r="Q120" i="54"/>
  <c r="N120" i="54" l="1"/>
  <c r="N266" i="54"/>
  <c r="Q266" i="54"/>
  <c r="N268" i="54"/>
  <c r="N122" i="54"/>
  <c r="Q126" i="54"/>
  <c r="Q128" i="54" s="1"/>
  <c r="B103" i="54"/>
  <c r="B104" i="54" s="1"/>
  <c r="B105" i="54" s="1"/>
  <c r="B106" i="54" s="1"/>
  <c r="B107" i="54" s="1"/>
  <c r="B108" i="54" s="1"/>
  <c r="B109" i="54" s="1"/>
  <c r="B110" i="54" s="1"/>
  <c r="B93" i="54"/>
  <c r="B94" i="54" s="1"/>
  <c r="B95" i="54" s="1"/>
  <c r="B96" i="54" s="1"/>
  <c r="B97" i="54" s="1"/>
  <c r="B98" i="54" s="1"/>
  <c r="B99" i="54" s="1"/>
  <c r="B100" i="54" s="1"/>
  <c r="B83" i="54"/>
  <c r="B84" i="54" s="1"/>
  <c r="B85" i="54" s="1"/>
  <c r="B86" i="54" s="1"/>
  <c r="B87" i="54" s="1"/>
  <c r="B88" i="54" s="1"/>
  <c r="B89" i="54" s="1"/>
  <c r="B90" i="54" s="1"/>
  <c r="B73" i="54"/>
  <c r="B74" i="54" s="1"/>
  <c r="B75" i="54" s="1"/>
  <c r="B76" i="54" s="1"/>
  <c r="B77" i="54" s="1"/>
  <c r="B78" i="54" s="1"/>
  <c r="B79" i="54" s="1"/>
  <c r="B80" i="54" s="1"/>
  <c r="B63" i="54"/>
  <c r="B64" i="54" s="1"/>
  <c r="B65" i="54" s="1"/>
  <c r="B66" i="54" s="1"/>
  <c r="B67" i="54" s="1"/>
  <c r="B68" i="54" s="1"/>
  <c r="B69" i="54" s="1"/>
  <c r="B70" i="54" s="1"/>
  <c r="B53" i="54"/>
  <c r="B54" i="54" s="1"/>
  <c r="B55" i="54" s="1"/>
  <c r="B56" i="54" s="1"/>
  <c r="B57" i="54" s="1"/>
  <c r="B58" i="54" s="1"/>
  <c r="B59" i="54" s="1"/>
  <c r="B60" i="54" s="1"/>
  <c r="K4" i="79" l="1"/>
  <c r="K10" i="79"/>
  <c r="K11" i="62"/>
  <c r="K4" i="62"/>
  <c r="K4" i="60" l="1"/>
  <c r="N4" i="81"/>
  <c r="N4" i="59"/>
  <c r="V133" i="70" l="1"/>
  <c r="Q133" i="70"/>
  <c r="V132" i="70"/>
  <c r="Q132" i="70"/>
  <c r="V131" i="70"/>
  <c r="Q131" i="70"/>
  <c r="V130" i="70"/>
  <c r="Q130" i="70"/>
  <c r="V129" i="70"/>
  <c r="Q129" i="70"/>
  <c r="V128" i="70"/>
  <c r="Q128" i="70"/>
  <c r="V127" i="70"/>
  <c r="Q127" i="70"/>
  <c r="V126" i="70"/>
  <c r="Q126" i="70"/>
  <c r="V125" i="70"/>
  <c r="Q125" i="70"/>
  <c r="V124" i="70"/>
  <c r="Q124" i="70"/>
  <c r="V123" i="70"/>
  <c r="Q123" i="70"/>
  <c r="B149" i="70"/>
  <c r="B150" i="70" s="1"/>
  <c r="B151" i="70" s="1"/>
  <c r="B152" i="70" s="1"/>
  <c r="B153" i="70" s="1"/>
  <c r="B154" i="70" s="1"/>
  <c r="B155" i="70" s="1"/>
  <c r="B156" i="70" s="1"/>
  <c r="B157" i="70" s="1"/>
  <c r="B158" i="70" s="1"/>
  <c r="B159" i="70" s="1"/>
  <c r="B160" i="70" s="1"/>
  <c r="B161" i="70" s="1"/>
  <c r="B162" i="70" s="1"/>
  <c r="B163" i="70" s="1"/>
  <c r="B164" i="70" s="1"/>
  <c r="V122" i="70"/>
  <c r="Q122" i="70"/>
  <c r="L133" i="70"/>
  <c r="G133" i="70"/>
  <c r="L132" i="70"/>
  <c r="G132" i="70"/>
  <c r="L131" i="70"/>
  <c r="G131" i="70"/>
  <c r="L130" i="70"/>
  <c r="G130" i="70"/>
  <c r="L129" i="70"/>
  <c r="G129" i="70"/>
  <c r="L128" i="70"/>
  <c r="G128" i="70"/>
  <c r="L127" i="70"/>
  <c r="G127" i="70"/>
  <c r="L126" i="70"/>
  <c r="G126" i="70"/>
  <c r="L125" i="70"/>
  <c r="G125" i="70"/>
  <c r="L124" i="70"/>
  <c r="G124" i="70"/>
  <c r="L123" i="70"/>
  <c r="G123" i="70"/>
  <c r="B123" i="70"/>
  <c r="B124" i="70" s="1"/>
  <c r="B125" i="70" s="1"/>
  <c r="B126" i="70" s="1"/>
  <c r="B127" i="70" s="1"/>
  <c r="B128" i="70" s="1"/>
  <c r="B129" i="70" s="1"/>
  <c r="B130" i="70" s="1"/>
  <c r="B131" i="70" s="1"/>
  <c r="B132" i="70" s="1"/>
  <c r="B133" i="70" s="1"/>
  <c r="B134" i="70" s="1"/>
  <c r="B135" i="70" s="1"/>
  <c r="B136" i="70" s="1"/>
  <c r="B137" i="70" s="1"/>
  <c r="B138" i="70" s="1"/>
  <c r="L122" i="70"/>
  <c r="B96" i="70"/>
  <c r="B97" i="70" s="1"/>
  <c r="B98" i="70" s="1"/>
  <c r="B99" i="70" s="1"/>
  <c r="B100" i="70" s="1"/>
  <c r="B101" i="70" s="1"/>
  <c r="B102" i="70" s="1"/>
  <c r="B103" i="70" s="1"/>
  <c r="B104" i="70" s="1"/>
  <c r="B105" i="70" s="1"/>
  <c r="B106" i="70" s="1"/>
  <c r="B107" i="70" s="1"/>
  <c r="B108" i="70" s="1"/>
  <c r="B109" i="70" s="1"/>
  <c r="B110" i="70" s="1"/>
  <c r="B111" i="70" s="1"/>
  <c r="B69" i="70"/>
  <c r="B70" i="70" s="1"/>
  <c r="B71" i="70" s="1"/>
  <c r="B72" i="70" s="1"/>
  <c r="B73" i="70" s="1"/>
  <c r="B74" i="70" s="1"/>
  <c r="B75" i="70" s="1"/>
  <c r="B76" i="70" s="1"/>
  <c r="B77" i="70" s="1"/>
  <c r="B78" i="70" s="1"/>
  <c r="B79" i="70" s="1"/>
  <c r="B80" i="70" s="1"/>
  <c r="B81" i="70" s="1"/>
  <c r="B82" i="70" s="1"/>
  <c r="B83" i="70" s="1"/>
  <c r="B84" i="70" s="1"/>
  <c r="B41" i="70"/>
  <c r="B42" i="70" s="1"/>
  <c r="B43" i="70" s="1"/>
  <c r="B44" i="70" s="1"/>
  <c r="B45" i="70" s="1"/>
  <c r="B46" i="70" s="1"/>
  <c r="B47" i="70" s="1"/>
  <c r="B48" i="70" s="1"/>
  <c r="B49" i="70" s="1"/>
  <c r="B50" i="70" s="1"/>
  <c r="B51" i="70" s="1"/>
  <c r="B52" i="70" s="1"/>
  <c r="B53" i="70" s="1"/>
  <c r="B54" i="70" s="1"/>
  <c r="B55" i="70" s="1"/>
  <c r="B56" i="70" s="1"/>
  <c r="B15" i="70"/>
  <c r="B16" i="70" s="1"/>
  <c r="B17" i="70" s="1"/>
  <c r="B18" i="70" s="1"/>
  <c r="B19" i="70" s="1"/>
  <c r="B20" i="70" s="1"/>
  <c r="B21" i="70" s="1"/>
  <c r="B22" i="70" s="1"/>
  <c r="B23" i="70" s="1"/>
  <c r="B24" i="70" s="1"/>
  <c r="B25" i="70" s="1"/>
  <c r="B26" i="70" s="1"/>
  <c r="B27" i="70" s="1"/>
  <c r="B28" i="70" s="1"/>
  <c r="B29" i="70" s="1"/>
  <c r="B30" i="70" s="1"/>
  <c r="V139" i="70" l="1"/>
  <c r="Q139" i="70"/>
  <c r="G139" i="70"/>
  <c r="L139" i="70"/>
  <c r="D19" i="55" l="1"/>
  <c r="O10" i="71" l="1"/>
  <c r="O17" i="71"/>
  <c r="O33" i="71"/>
  <c r="O41" i="71"/>
  <c r="K18" i="55"/>
  <c r="L17" i="55"/>
  <c r="L18" i="55" l="1"/>
  <c r="B12" i="60"/>
  <c r="B13" i="60" s="1"/>
  <c r="B14" i="60" s="1"/>
  <c r="B15" i="60" s="1"/>
  <c r="B16" i="60" s="1"/>
  <c r="B17" i="60" s="1"/>
  <c r="B18" i="60" s="1"/>
  <c r="B19" i="60" s="1"/>
  <c r="B20" i="60" s="1"/>
  <c r="B21" i="60" s="1"/>
  <c r="B22" i="60" s="1"/>
  <c r="B23" i="60" s="1"/>
  <c r="B24" i="60" s="1"/>
  <c r="B25" i="60" s="1"/>
  <c r="B26" i="60" s="1"/>
  <c r="E2" i="99"/>
  <c r="E3" i="99"/>
  <c r="B2" i="98"/>
  <c r="B3" i="98"/>
  <c r="B3" i="78"/>
  <c r="B2" i="75"/>
  <c r="B3" i="75"/>
  <c r="K2" i="77"/>
  <c r="K3" i="77"/>
  <c r="B2" i="74"/>
  <c r="B3" i="74"/>
  <c r="B2" i="73"/>
  <c r="B3" i="73"/>
  <c r="F2" i="91"/>
  <c r="F3" i="91"/>
  <c r="B2" i="72"/>
  <c r="B3" i="72"/>
  <c r="B3" i="71"/>
  <c r="B2" i="71"/>
  <c r="B2" i="55"/>
  <c r="B3" i="55"/>
  <c r="C3" i="54"/>
  <c r="C2" i="54"/>
  <c r="B2" i="93"/>
  <c r="B3" i="93"/>
  <c r="B2" i="69"/>
  <c r="B3" i="69"/>
  <c r="B2" i="68"/>
  <c r="B3" i="68"/>
  <c r="B3" i="67"/>
  <c r="B1" i="66"/>
  <c r="B2" i="66"/>
  <c r="B2" i="65"/>
  <c r="B3" i="65"/>
  <c r="B2" i="64"/>
  <c r="B3" i="64"/>
  <c r="B2" i="63"/>
  <c r="B3" i="63"/>
  <c r="B2" i="79"/>
  <c r="K2" i="79" s="1"/>
  <c r="B3" i="79"/>
  <c r="K3" i="79" s="1"/>
  <c r="B2" i="62"/>
  <c r="K2" i="62" s="1"/>
  <c r="B3" i="62"/>
  <c r="K3" i="62" s="1"/>
  <c r="B2" i="61"/>
  <c r="B3" i="60"/>
  <c r="K3" i="60" s="1"/>
  <c r="B2" i="60"/>
  <c r="K2" i="60" s="1"/>
  <c r="B3" i="61"/>
  <c r="F14" i="54" l="1"/>
  <c r="F13" i="54"/>
  <c r="N35" i="73" l="1"/>
  <c r="N24" i="73"/>
  <c r="E47" i="78" l="1"/>
  <c r="N128" i="59"/>
  <c r="R128" i="59" s="1"/>
  <c r="N129" i="59"/>
  <c r="R129" i="59" s="1"/>
  <c r="L47" i="78" l="1"/>
  <c r="N13" i="73"/>
  <c r="E18" i="55"/>
  <c r="N130" i="59" l="1"/>
  <c r="B3" i="59"/>
  <c r="N3" i="59" s="1"/>
  <c r="B2" i="59"/>
  <c r="N2" i="59" s="1"/>
  <c r="B3" i="81"/>
  <c r="N3" i="81" s="1"/>
  <c r="B2" i="81"/>
  <c r="N2" i="81" s="1"/>
  <c r="A3" i="80"/>
  <c r="J3" i="80" s="1"/>
  <c r="A2" i="80"/>
  <c r="B2" i="58"/>
  <c r="B3" i="58"/>
  <c r="N131" i="59" l="1"/>
  <c r="R131" i="59" s="1"/>
  <c r="R130" i="59"/>
  <c r="N135" i="59"/>
  <c r="R135" i="59" s="1"/>
  <c r="N134" i="59"/>
  <c r="R134" i="59" s="1"/>
  <c r="I20" i="54"/>
  <c r="I14" i="54"/>
  <c r="I13" i="54"/>
  <c r="N136" i="59" l="1"/>
  <c r="N137" i="59" l="1"/>
  <c r="R136" i="59"/>
  <c r="M13" i="93"/>
  <c r="N13" i="93" s="1"/>
  <c r="N10" i="93"/>
  <c r="I13" i="93"/>
  <c r="F13" i="93"/>
  <c r="H17" i="69"/>
  <c r="H16" i="69"/>
  <c r="H15" i="69"/>
  <c r="H13" i="69"/>
  <c r="H39" i="68"/>
  <c r="H38" i="68"/>
  <c r="H36" i="68"/>
  <c r="H35" i="68"/>
  <c r="H34" i="68"/>
  <c r="H33" i="68"/>
  <c r="H32" i="68"/>
  <c r="H31" i="68"/>
  <c r="H30" i="68"/>
  <c r="H29" i="68"/>
  <c r="H28" i="68"/>
  <c r="H27" i="68"/>
  <c r="H26" i="68"/>
  <c r="H25" i="68"/>
  <c r="H24" i="68"/>
  <c r="H23" i="68"/>
  <c r="H20" i="68"/>
  <c r="H19" i="68"/>
  <c r="H18" i="68"/>
  <c r="R137" i="59" l="1"/>
  <c r="D18" i="78" l="1"/>
  <c r="L11" i="55"/>
  <c r="F18" i="55"/>
  <c r="F17" i="55"/>
  <c r="F11" i="55"/>
  <c r="F20" i="54"/>
  <c r="J14" i="93" l="1"/>
  <c r="J17" i="54" s="1"/>
  <c r="G14" i="93"/>
  <c r="G12" i="55" l="1"/>
  <c r="G20" i="55" s="1"/>
  <c r="G17" i="54"/>
  <c r="D19" i="54"/>
  <c r="J12" i="55"/>
  <c r="J20" i="55" s="1"/>
  <c r="B190" i="98"/>
  <c r="B202" i="98" s="1"/>
  <c r="B170" i="98"/>
  <c r="B176" i="98" s="1"/>
  <c r="B105" i="98"/>
  <c r="B117" i="98" s="1"/>
  <c r="B41" i="98"/>
  <c r="B53" i="98" s="1"/>
  <c r="B35" i="55"/>
  <c r="B32" i="55"/>
  <c r="D21" i="54" l="1"/>
  <c r="D23" i="54" s="1"/>
  <c r="G15" i="54"/>
  <c r="G18" i="54" s="1"/>
  <c r="D14" i="55"/>
  <c r="G10" i="55" s="1"/>
  <c r="D20" i="55"/>
  <c r="D21" i="55" s="1"/>
  <c r="E24" i="58" s="1"/>
  <c r="B262" i="98"/>
  <c r="B274" i="98" s="1"/>
  <c r="B226" i="98"/>
  <c r="B238" i="98" s="1"/>
  <c r="B139" i="98"/>
  <c r="B151" i="98" s="1"/>
  <c r="B74" i="98"/>
  <c r="B86" i="98" s="1"/>
  <c r="B10" i="98"/>
  <c r="B22" i="98" s="1"/>
  <c r="B20" i="55"/>
  <c r="B21" i="55" s="1"/>
  <c r="B11" i="55"/>
  <c r="B12" i="55" s="1"/>
  <c r="B13" i="55" s="1"/>
  <c r="B14" i="55" s="1"/>
  <c r="D25" i="54" l="1"/>
  <c r="E17" i="58" s="1"/>
  <c r="G19" i="55"/>
  <c r="G14" i="55"/>
  <c r="J10" i="55" s="1"/>
  <c r="J19" i="55" s="1"/>
  <c r="J21" i="55" s="1"/>
  <c r="G19" i="54"/>
  <c r="J15" i="54" s="1"/>
  <c r="G21" i="54" l="1"/>
  <c r="G23" i="54" s="1"/>
  <c r="J18" i="54"/>
  <c r="J19" i="54" s="1"/>
  <c r="J21" i="54" s="1"/>
  <c r="J23" i="54" s="1"/>
  <c r="G21" i="55"/>
  <c r="I24" i="58" s="1"/>
  <c r="M24" i="58"/>
  <c r="J14" i="55"/>
  <c r="B12" i="93"/>
  <c r="B13" i="93" s="1"/>
  <c r="B14" i="93" s="1"/>
  <c r="J25" i="54" l="1"/>
  <c r="M17" i="58" s="1"/>
  <c r="G25" i="54"/>
  <c r="I17" i="58" s="1"/>
  <c r="B309" i="54"/>
  <c r="B310" i="54" s="1"/>
  <c r="B311" i="54" s="1"/>
  <c r="B312" i="54" s="1"/>
  <c r="B313" i="54" s="1"/>
  <c r="B314" i="54" s="1"/>
  <c r="B315" i="54" s="1"/>
  <c r="B316" i="54" s="1"/>
  <c r="B116" i="54"/>
  <c r="B117" i="54" s="1"/>
  <c r="B118" i="54" s="1"/>
  <c r="B119" i="54" s="1"/>
  <c r="B120" i="54" s="1"/>
  <c r="B121" i="54" s="1"/>
  <c r="B122" i="54" s="1"/>
  <c r="B123" i="54" s="1"/>
  <c r="B35" i="91"/>
  <c r="B36" i="91" s="1"/>
  <c r="B37" i="91" s="1"/>
  <c r="B38" i="91" s="1"/>
  <c r="B39" i="91" s="1"/>
  <c r="B40" i="91" s="1"/>
  <c r="B41" i="91" s="1"/>
  <c r="B42" i="91" s="1"/>
  <c r="B43" i="91" s="1"/>
  <c r="B44" i="91" s="1"/>
  <c r="B45" i="91" s="1"/>
  <c r="B46" i="91" s="1"/>
  <c r="B47" i="91" s="1"/>
  <c r="B48" i="91" s="1"/>
  <c r="B49" i="91" s="1"/>
  <c r="B50" i="91" s="1"/>
  <c r="B51" i="91" s="1"/>
  <c r="B52" i="91" s="1"/>
  <c r="B53" i="91" s="1"/>
  <c r="B54" i="91" s="1"/>
  <c r="B56" i="91" l="1"/>
  <c r="B57" i="91" s="1"/>
  <c r="B294" i="54"/>
  <c r="B295" i="54" s="1"/>
  <c r="B296" i="54" s="1"/>
  <c r="B297" i="54" s="1"/>
  <c r="B298" i="54" s="1"/>
  <c r="B299" i="54" s="1"/>
  <c r="B300" i="54" s="1"/>
  <c r="B301" i="54" s="1"/>
  <c r="B285" i="54"/>
  <c r="B286" i="54" s="1"/>
  <c r="B287" i="54" s="1"/>
  <c r="B288" i="54" s="1"/>
  <c r="B289" i="54" s="1"/>
  <c r="B290" i="54" s="1"/>
  <c r="B291" i="54" s="1"/>
  <c r="B43" i="54"/>
  <c r="B44" i="54" s="1"/>
  <c r="B45" i="54" s="1"/>
  <c r="B46" i="54" s="1"/>
  <c r="B47" i="54" s="1"/>
  <c r="B48" i="54" s="1"/>
  <c r="B49" i="54" s="1"/>
  <c r="B50" i="54" s="1"/>
  <c r="B34" i="54"/>
  <c r="B35" i="54" s="1"/>
  <c r="B36" i="54" s="1"/>
  <c r="B37" i="54" s="1"/>
  <c r="B38" i="54" s="1"/>
  <c r="B39" i="54" s="1"/>
  <c r="B40" i="54" s="1"/>
  <c r="B14" i="54"/>
  <c r="B15" i="54" s="1"/>
  <c r="B16" i="54" s="1"/>
  <c r="B17" i="54" s="1"/>
  <c r="B18" i="54" s="1"/>
  <c r="B19" i="54" s="1"/>
  <c r="B20" i="54" s="1"/>
  <c r="B72" i="61" l="1"/>
  <c r="B73" i="61" s="1"/>
  <c r="B74" i="61" s="1"/>
  <c r="B59" i="61"/>
  <c r="B60" i="61" s="1"/>
  <c r="B61" i="61" s="1"/>
  <c r="B62" i="61" s="1"/>
  <c r="B63" i="61" s="1"/>
  <c r="B64" i="61" s="1"/>
  <c r="B65" i="61" s="1"/>
  <c r="B66" i="61" s="1"/>
  <c r="B67" i="61" s="1"/>
  <c r="B68" i="61" s="1"/>
  <c r="B69" i="61" s="1"/>
  <c r="B11" i="59"/>
  <c r="B12" i="59" s="1"/>
  <c r="B60" i="81"/>
  <c r="B61" i="81" s="1"/>
  <c r="B56" i="81"/>
  <c r="B57" i="81" s="1"/>
  <c r="B52" i="81"/>
  <c r="B53" i="81" s="1"/>
  <c r="B34" i="81"/>
  <c r="B30" i="81"/>
  <c r="B25" i="81"/>
  <c r="B15" i="81"/>
  <c r="B11" i="79"/>
  <c r="B12" i="79" s="1"/>
  <c r="B13" i="79" s="1"/>
  <c r="B16" i="79" s="1"/>
  <c r="B17" i="79" s="1"/>
  <c r="B18" i="79" s="1"/>
  <c r="B11" i="75" l="1"/>
  <c r="B12" i="75" s="1"/>
  <c r="B13" i="75" s="1"/>
  <c r="B14" i="75" s="1"/>
  <c r="B15" i="75" s="1"/>
  <c r="B16" i="75" s="1"/>
  <c r="B17" i="75" s="1"/>
  <c r="B29" i="67"/>
  <c r="B30" i="67" s="1"/>
  <c r="B31" i="67" s="1"/>
  <c r="B32" i="67" s="1"/>
  <c r="B57" i="67"/>
  <c r="B58" i="67" s="1"/>
  <c r="B59" i="67" s="1"/>
  <c r="B60" i="67" s="1"/>
  <c r="B63" i="67"/>
  <c r="B64" i="67" s="1"/>
  <c r="B65" i="67" s="1"/>
  <c r="B66" i="67" s="1"/>
  <c r="B69" i="67"/>
  <c r="B70" i="67" s="1"/>
  <c r="B71" i="67" s="1"/>
  <c r="B72" i="67" s="1"/>
  <c r="B75" i="67"/>
  <c r="B76" i="67" s="1"/>
  <c r="B77" i="67" s="1"/>
  <c r="B78" i="67" s="1"/>
  <c r="B18" i="75" l="1"/>
  <c r="B19" i="75" s="1"/>
  <c r="B20" i="75" s="1"/>
  <c r="B21" i="75" s="1"/>
  <c r="B22" i="75" s="1"/>
  <c r="B23" i="75" s="1"/>
  <c r="B24" i="75" s="1"/>
  <c r="B25" i="75" s="1"/>
  <c r="B26" i="75" s="1"/>
  <c r="Q55" i="59" l="1"/>
  <c r="N55" i="59" s="1"/>
  <c r="R55" i="59" l="1"/>
  <c r="R65" i="59"/>
  <c r="L14" i="73" l="1"/>
  <c r="M14" i="73"/>
  <c r="O86" i="70" l="1"/>
  <c r="T86" i="70" s="1"/>
  <c r="E60" i="104" s="1"/>
  <c r="J60" i="104" s="1"/>
  <c r="O60" i="104" s="1"/>
  <c r="T60" i="104" s="1"/>
  <c r="Y60" i="104" s="1"/>
  <c r="E113" i="70" l="1"/>
  <c r="J113" i="70" s="1"/>
  <c r="O113" i="70" s="1"/>
  <c r="T113" i="70" s="1"/>
  <c r="F12" i="78" l="1"/>
  <c r="G12" i="78"/>
  <c r="L12" i="78"/>
  <c r="D39" i="67" l="1"/>
  <c r="C11" i="80" l="1"/>
  <c r="P61" i="81" l="1"/>
  <c r="H34" i="67" l="1"/>
  <c r="H22" i="67"/>
  <c r="H12" i="67"/>
  <c r="H32" i="67" l="1"/>
  <c r="H17" i="68"/>
  <c r="H13" i="67"/>
  <c r="H13" i="68"/>
  <c r="H12" i="68"/>
  <c r="H40" i="68"/>
  <c r="H14" i="68"/>
  <c r="H21" i="68"/>
  <c r="G44" i="68"/>
  <c r="H29" i="67"/>
  <c r="G21" i="69"/>
  <c r="H16" i="67"/>
  <c r="H11" i="68"/>
  <c r="F44" i="68"/>
  <c r="H22" i="68"/>
  <c r="M13" i="75"/>
  <c r="H11" i="69"/>
  <c r="H16" i="68"/>
  <c r="H37" i="68"/>
  <c r="H10" i="69"/>
  <c r="F21" i="69"/>
  <c r="G36" i="67"/>
  <c r="H15" i="68"/>
  <c r="H14" i="69"/>
  <c r="H41" i="68"/>
  <c r="F36" i="67"/>
  <c r="H12" i="69"/>
  <c r="H42" i="68"/>
  <c r="P13" i="65" l="1"/>
  <c r="P11" i="65"/>
  <c r="P12" i="65"/>
  <c r="H44" i="68"/>
  <c r="H46" i="68" s="1"/>
  <c r="G46" i="68"/>
  <c r="H36" i="67"/>
  <c r="H38" i="67" s="1"/>
  <c r="O13" i="65"/>
  <c r="F38" i="67"/>
  <c r="F40" i="67" s="1"/>
  <c r="O11" i="65"/>
  <c r="H21" i="69"/>
  <c r="O12" i="65"/>
  <c r="F46" i="68"/>
  <c r="G38" i="67"/>
  <c r="G40" i="67" s="1"/>
  <c r="Q13" i="65" l="1"/>
  <c r="Q12" i="65"/>
  <c r="Q11" i="65"/>
  <c r="H40" i="67"/>
  <c r="P34" i="81" l="1"/>
  <c r="O34" i="81"/>
  <c r="L54" i="60"/>
  <c r="O57" i="81"/>
  <c r="L40" i="60"/>
  <c r="L97" i="60"/>
  <c r="L23" i="60"/>
  <c r="L26" i="60" s="1"/>
  <c r="L112" i="60"/>
  <c r="K29" i="60" l="1"/>
  <c r="O52" i="60"/>
  <c r="O49" i="60"/>
  <c r="O75" i="59"/>
  <c r="O46" i="60"/>
  <c r="P56" i="81"/>
  <c r="O44" i="60"/>
  <c r="O47" i="60"/>
  <c r="N11" i="59"/>
  <c r="N11" i="81" s="1"/>
  <c r="O51" i="60"/>
  <c r="O61" i="81"/>
  <c r="Q44" i="59"/>
  <c r="O56" i="81"/>
  <c r="O48" i="60"/>
  <c r="O74" i="59"/>
  <c r="O117" i="59" s="1"/>
  <c r="O79" i="59"/>
  <c r="O122" i="59" s="1"/>
  <c r="O78" i="59"/>
  <c r="O121" i="59" s="1"/>
  <c r="O50" i="60"/>
  <c r="O45" i="60"/>
  <c r="O12" i="59"/>
  <c r="F3" i="100"/>
  <c r="O118" i="59" l="1"/>
  <c r="Q34" i="81"/>
  <c r="K34" i="60"/>
  <c r="O34" i="60" s="1"/>
  <c r="K30" i="60"/>
  <c r="O30" i="60" s="1"/>
  <c r="K33" i="60"/>
  <c r="O33" i="60" s="1"/>
  <c r="K37" i="60"/>
  <c r="O37" i="60" s="1"/>
  <c r="K32" i="60"/>
  <c r="O32" i="60" s="1"/>
  <c r="K38" i="60"/>
  <c r="O38" i="60" s="1"/>
  <c r="K36" i="60"/>
  <c r="O36" i="60" s="1"/>
  <c r="P12" i="59"/>
  <c r="Q12" i="59" s="1"/>
  <c r="K35" i="60"/>
  <c r="O35" i="60" s="1"/>
  <c r="K31" i="60"/>
  <c r="O31" i="60" s="1"/>
  <c r="O43" i="60"/>
  <c r="O54" i="60" s="1"/>
  <c r="N56" i="81"/>
  <c r="N57" i="81" s="1"/>
  <c r="N52" i="81"/>
  <c r="O73" i="59"/>
  <c r="O116" i="59" s="1"/>
  <c r="O24" i="60"/>
  <c r="O29" i="60"/>
  <c r="Q61" i="81"/>
  <c r="O125" i="59" l="1"/>
  <c r="O40" i="60"/>
  <c r="R12" i="59"/>
  <c r="J10" i="61"/>
  <c r="R20" i="59"/>
  <c r="Q56" i="81"/>
  <c r="R56" i="81" s="1"/>
  <c r="R41" i="59"/>
  <c r="Q52" i="81"/>
  <c r="O40" i="59" l="1"/>
  <c r="O53" i="81" s="1"/>
  <c r="O155" i="59"/>
  <c r="O157" i="59" l="1"/>
  <c r="O11" i="58"/>
  <c r="Q11" i="59" l="1"/>
  <c r="Q11" i="81" s="1"/>
  <c r="O88" i="60" l="1"/>
  <c r="N24" i="59"/>
  <c r="L13" i="74"/>
  <c r="L25" i="73"/>
  <c r="M25" i="73"/>
  <c r="M13" i="74"/>
  <c r="O85" i="60"/>
  <c r="O91" i="60" l="1"/>
  <c r="O94" i="60"/>
  <c r="O89" i="60"/>
  <c r="O96" i="60"/>
  <c r="O87" i="60"/>
  <c r="O95" i="60"/>
  <c r="O93" i="60"/>
  <c r="O92" i="60"/>
  <c r="O90" i="60"/>
  <c r="R38" i="59"/>
  <c r="N31" i="81"/>
  <c r="M36" i="73"/>
  <c r="M24" i="74"/>
  <c r="L36" i="73"/>
  <c r="L24" i="74"/>
  <c r="O86" i="60" l="1"/>
  <c r="O97" i="60" s="1"/>
  <c r="K56" i="81" l="1"/>
  <c r="J52" i="81" l="1"/>
  <c r="L12" i="59" l="1"/>
  <c r="F15" i="54" l="1"/>
  <c r="F141" i="59" l="1"/>
  <c r="H141" i="59" s="1"/>
  <c r="G153" i="59" l="1"/>
  <c r="F140" i="59"/>
  <c r="F153" i="59" s="1"/>
  <c r="H140" i="59" l="1"/>
  <c r="H153" i="59" s="1"/>
  <c r="M69" i="78" l="1"/>
  <c r="F11" i="81" l="1"/>
  <c r="H22" i="58" l="1"/>
  <c r="E18" i="78" l="1"/>
  <c r="F18" i="78" l="1"/>
  <c r="L18" i="78"/>
  <c r="G18" i="78"/>
  <c r="J22" i="58" l="1"/>
  <c r="D47" i="78" s="1"/>
  <c r="L22" i="58" l="1"/>
  <c r="F47" i="78"/>
  <c r="G47" i="78"/>
  <c r="N22" i="58"/>
  <c r="R22" i="58" s="1"/>
  <c r="E11" i="58" l="1"/>
  <c r="O15" i="60" l="1"/>
  <c r="O16" i="60"/>
  <c r="O14" i="60" l="1"/>
  <c r="O21" i="60"/>
  <c r="O12" i="60"/>
  <c r="O19" i="60"/>
  <c r="O18" i="60"/>
  <c r="O22" i="60"/>
  <c r="O20" i="60"/>
  <c r="O13" i="60"/>
  <c r="O17" i="60"/>
  <c r="O11" i="60" l="1"/>
  <c r="O23" i="60" s="1"/>
  <c r="O26" i="60" s="1"/>
  <c r="O103" i="60" l="1"/>
  <c r="O106" i="60"/>
  <c r="O107" i="60"/>
  <c r="O102" i="60" l="1"/>
  <c r="O108" i="60"/>
  <c r="O105" i="60"/>
  <c r="O101" i="60"/>
  <c r="O109" i="60"/>
  <c r="O104" i="60"/>
  <c r="O100" i="60" l="1"/>
  <c r="N115" i="60"/>
  <c r="K115" i="60" s="1"/>
  <c r="N116" i="60"/>
  <c r="N117" i="60"/>
  <c r="N118" i="60"/>
  <c r="N119" i="60"/>
  <c r="K119" i="60" s="1"/>
  <c r="O119" i="60" s="1"/>
  <c r="N120" i="60"/>
  <c r="K120" i="60" s="1"/>
  <c r="O120" i="60" s="1"/>
  <c r="N121" i="60"/>
  <c r="K121" i="60" s="1"/>
  <c r="O121" i="60" s="1"/>
  <c r="N122" i="60"/>
  <c r="K122" i="60" s="1"/>
  <c r="O122" i="60" s="1"/>
  <c r="N123" i="60"/>
  <c r="K123" i="60" s="1"/>
  <c r="N124" i="60"/>
  <c r="P80" i="59"/>
  <c r="Q80" i="59" s="1"/>
  <c r="K118" i="60" l="1"/>
  <c r="O118" i="60" s="1"/>
  <c r="K124" i="60"/>
  <c r="O124" i="60" s="1"/>
  <c r="K117" i="60"/>
  <c r="O117" i="60" s="1"/>
  <c r="P123" i="59"/>
  <c r="Q123" i="59" s="1"/>
  <c r="N125" i="60"/>
  <c r="K116" i="60"/>
  <c r="O116" i="60" s="1"/>
  <c r="O123" i="60"/>
  <c r="O115" i="60"/>
  <c r="O125" i="60" l="1"/>
  <c r="K125" i="60"/>
  <c r="N80" i="59" s="1"/>
  <c r="R80" i="59" l="1"/>
  <c r="J148" i="59" l="1"/>
  <c r="L148" i="59" s="1"/>
  <c r="L141" i="59"/>
  <c r="J146" i="59"/>
  <c r="L146" i="59" s="1"/>
  <c r="J152" i="59"/>
  <c r="L152" i="59" s="1"/>
  <c r="J149" i="59"/>
  <c r="L149" i="59" s="1"/>
  <c r="J150" i="59"/>
  <c r="L150" i="59" s="1"/>
  <c r="J147" i="59"/>
  <c r="L147" i="59" s="1"/>
  <c r="J151" i="59"/>
  <c r="L151" i="59" s="1"/>
  <c r="J144" i="59"/>
  <c r="L144" i="59" s="1"/>
  <c r="J145" i="59"/>
  <c r="L145" i="59" s="1"/>
  <c r="J143" i="59"/>
  <c r="L143" i="59" s="1"/>
  <c r="J142" i="59"/>
  <c r="L142" i="59" s="1"/>
  <c r="J140" i="59" l="1"/>
  <c r="J153" i="59" s="1"/>
  <c r="K153" i="59"/>
  <c r="H94" i="60"/>
  <c r="J94" i="60" s="1"/>
  <c r="L140" i="59" l="1"/>
  <c r="L153" i="59" s="1"/>
  <c r="M14" i="77" l="1"/>
  <c r="N14" i="77" s="1"/>
  <c r="M21" i="77"/>
  <c r="N21" i="77" s="1"/>
  <c r="M19" i="77"/>
  <c r="N19" i="77" s="1"/>
  <c r="M26" i="77"/>
  <c r="N26" i="77" s="1"/>
  <c r="M12" i="77"/>
  <c r="N12" i="77" s="1"/>
  <c r="M18" i="77"/>
  <c r="N18" i="77" s="1"/>
  <c r="M22" i="77"/>
  <c r="N22" i="77" s="1"/>
  <c r="M13" i="77"/>
  <c r="N13" i="77" s="1"/>
  <c r="M20" i="77"/>
  <c r="N20" i="77" s="1"/>
  <c r="L27" i="77"/>
  <c r="P21" i="58" s="1"/>
  <c r="M15" i="77"/>
  <c r="N15" i="77" s="1"/>
  <c r="M23" i="77"/>
  <c r="N23" i="77" s="1"/>
  <c r="M11" i="77"/>
  <c r="K27" i="77" l="1"/>
  <c r="O21" i="58" s="1"/>
  <c r="Q21" i="58" s="1"/>
  <c r="N11" i="77"/>
  <c r="N27" i="77" s="1"/>
  <c r="M27" i="77"/>
  <c r="N21" i="58" l="1"/>
  <c r="R21" i="58" l="1"/>
  <c r="O111" i="60"/>
  <c r="O110" i="60"/>
  <c r="O112" i="60" l="1"/>
  <c r="R61" i="81" l="1"/>
  <c r="M43" i="59"/>
  <c r="N43" i="59" s="1"/>
  <c r="R44" i="59" s="1"/>
  <c r="J29" i="72" l="1"/>
  <c r="N29" i="72" s="1"/>
  <c r="I43" i="59" l="1"/>
  <c r="J43" i="59" s="1"/>
  <c r="H24" i="60" s="1"/>
  <c r="F84" i="61" l="1"/>
  <c r="F85" i="61" s="1"/>
  <c r="T20" i="58" s="1"/>
  <c r="E84" i="61"/>
  <c r="E85" i="61" s="1"/>
  <c r="S20" i="58" s="1"/>
  <c r="H84" i="61" l="1"/>
  <c r="H85" i="61" s="1"/>
  <c r="V20" i="58" s="1"/>
  <c r="I84" i="61"/>
  <c r="I85" i="61" s="1"/>
  <c r="W20" i="58" s="1"/>
  <c r="G84" i="61"/>
  <c r="G85" i="61" s="1"/>
  <c r="U20" i="58" s="1"/>
  <c r="W35" i="81" l="1"/>
  <c r="V35" i="81"/>
  <c r="U35" i="81"/>
  <c r="T35" i="81"/>
  <c r="S35" i="81"/>
  <c r="V28" i="59" l="1"/>
  <c r="W28" i="59"/>
  <c r="S28" i="59"/>
  <c r="T28" i="59" l="1"/>
  <c r="U28" i="59"/>
  <c r="V77" i="59" l="1"/>
  <c r="U76" i="59"/>
  <c r="W76" i="59"/>
  <c r="V76" i="59"/>
  <c r="U61" i="59" l="1"/>
  <c r="W62" i="59"/>
  <c r="U77" i="59"/>
  <c r="U120" i="59" s="1"/>
  <c r="W119" i="59"/>
  <c r="V120" i="59"/>
  <c r="W77" i="59"/>
  <c r="W120" i="59" s="1"/>
  <c r="T77" i="59"/>
  <c r="T120" i="59" s="1"/>
  <c r="T62" i="59"/>
  <c r="S62" i="59"/>
  <c r="V62" i="59"/>
  <c r="V119" i="59"/>
  <c r="V61" i="59"/>
  <c r="U119" i="59"/>
  <c r="T61" i="59"/>
  <c r="W61" i="59"/>
  <c r="U62" i="59"/>
  <c r="S77" i="59"/>
  <c r="S120" i="59" s="1"/>
  <c r="S61" i="59" l="1"/>
  <c r="T76" i="59" l="1"/>
  <c r="T119" i="59" l="1"/>
  <c r="S76" i="59" l="1"/>
  <c r="S119" i="59" l="1"/>
  <c r="U153" i="59" l="1"/>
  <c r="S58" i="59" l="1"/>
  <c r="S60" i="59"/>
  <c r="S59" i="59"/>
  <c r="S68" i="59" l="1"/>
  <c r="S104" i="59" s="1"/>
  <c r="S105" i="59"/>
  <c r="T58" i="59"/>
  <c r="T60" i="59"/>
  <c r="S106" i="59" l="1"/>
  <c r="S70" i="59"/>
  <c r="T105" i="59"/>
  <c r="T59" i="59"/>
  <c r="S108" i="59"/>
  <c r="S107" i="59"/>
  <c r="U60" i="59"/>
  <c r="U58" i="59"/>
  <c r="U59" i="59"/>
  <c r="U68" i="59" l="1"/>
  <c r="U106" i="59" s="1"/>
  <c r="U105" i="59"/>
  <c r="T68" i="59"/>
  <c r="V60" i="59"/>
  <c r="V58" i="59"/>
  <c r="V59" i="59"/>
  <c r="U70" i="59" l="1"/>
  <c r="U104" i="59"/>
  <c r="V105" i="59"/>
  <c r="T108" i="59"/>
  <c r="T107" i="59"/>
  <c r="T104" i="59"/>
  <c r="T106" i="59"/>
  <c r="T70" i="59"/>
  <c r="V68" i="59"/>
  <c r="V104" i="59" s="1"/>
  <c r="U108" i="59"/>
  <c r="U107" i="59"/>
  <c r="W60" i="59"/>
  <c r="W58" i="59"/>
  <c r="W59" i="59"/>
  <c r="V106" i="59" l="1"/>
  <c r="V70" i="59"/>
  <c r="V107" i="59"/>
  <c r="V108" i="59"/>
  <c r="W68" i="59"/>
  <c r="W104" i="59" s="1"/>
  <c r="W105" i="59"/>
  <c r="W106" i="59" l="1"/>
  <c r="W70" i="59"/>
  <c r="W108" i="59"/>
  <c r="W107" i="59"/>
  <c r="W39" i="81" l="1"/>
  <c r="V39" i="81"/>
  <c r="U39" i="81"/>
  <c r="T39" i="81"/>
  <c r="S39" i="81"/>
  <c r="U38" i="81" l="1"/>
  <c r="U32" i="59"/>
  <c r="V38" i="81"/>
  <c r="V32" i="59"/>
  <c r="T38" i="81"/>
  <c r="T32" i="59"/>
  <c r="W38" i="81"/>
  <c r="W32" i="59"/>
  <c r="S32" i="59"/>
  <c r="S38" i="81"/>
  <c r="T81" i="59" l="1"/>
  <c r="T124" i="59" s="1"/>
  <c r="T78" i="59" l="1"/>
  <c r="S79" i="59"/>
  <c r="S78" i="59"/>
  <c r="S81" i="59"/>
  <c r="U78" i="59"/>
  <c r="T79" i="59"/>
  <c r="S66" i="59"/>
  <c r="T66" i="59"/>
  <c r="T112" i="59" s="1"/>
  <c r="S63" i="59"/>
  <c r="S64" i="59"/>
  <c r="T64" i="59"/>
  <c r="T110" i="59" s="1"/>
  <c r="U121" i="59" l="1"/>
  <c r="T122" i="59"/>
  <c r="T121" i="59"/>
  <c r="U79" i="59"/>
  <c r="U64" i="59"/>
  <c r="U110" i="59" s="1"/>
  <c r="U66" i="59"/>
  <c r="U112" i="59" s="1"/>
  <c r="U81" i="59"/>
  <c r="U124" i="59" s="1"/>
  <c r="T63" i="59"/>
  <c r="T109" i="59" s="1"/>
  <c r="T113" i="59" s="1"/>
  <c r="T23" i="59" s="1"/>
  <c r="T91" i="59" l="1"/>
  <c r="T90" i="59"/>
  <c r="T92" i="59"/>
  <c r="T89" i="59"/>
  <c r="F61" i="61"/>
  <c r="F68" i="61"/>
  <c r="T87" i="59"/>
  <c r="T33" i="59"/>
  <c r="T35" i="59"/>
  <c r="T34" i="59"/>
  <c r="T88" i="59"/>
  <c r="T86" i="59"/>
  <c r="T85" i="59"/>
  <c r="T84" i="59"/>
  <c r="U122" i="59"/>
  <c r="G68" i="61" s="1"/>
  <c r="V66" i="59"/>
  <c r="V112" i="59" s="1"/>
  <c r="V81" i="59"/>
  <c r="V124" i="59" s="1"/>
  <c r="V79" i="59"/>
  <c r="V78" i="59"/>
  <c r="V64" i="59"/>
  <c r="V110" i="59" s="1"/>
  <c r="U63" i="59"/>
  <c r="U109" i="59" s="1"/>
  <c r="U113" i="59" s="1"/>
  <c r="U23" i="59" s="1"/>
  <c r="U91" i="59" l="1"/>
  <c r="U92" i="59"/>
  <c r="U90" i="59"/>
  <c r="U89" i="59"/>
  <c r="T36" i="59"/>
  <c r="T37" i="59" s="1"/>
  <c r="U86" i="59"/>
  <c r="U33" i="59"/>
  <c r="U35" i="59"/>
  <c r="U34" i="59"/>
  <c r="U87" i="59"/>
  <c r="U88" i="59"/>
  <c r="U85" i="59"/>
  <c r="U84" i="59"/>
  <c r="V121" i="59"/>
  <c r="G61" i="61"/>
  <c r="V122" i="59"/>
  <c r="W66" i="59"/>
  <c r="W112" i="59" s="1"/>
  <c r="W64" i="59"/>
  <c r="W110" i="59" s="1"/>
  <c r="W63" i="59"/>
  <c r="W109" i="59" s="1"/>
  <c r="W81" i="59"/>
  <c r="W124" i="59" s="1"/>
  <c r="W79" i="59"/>
  <c r="V63" i="59"/>
  <c r="V109" i="59" s="1"/>
  <c r="V113" i="59" s="1"/>
  <c r="V23" i="59" s="1"/>
  <c r="W78" i="59"/>
  <c r="V91" i="59" l="1"/>
  <c r="V90" i="59"/>
  <c r="V89" i="59"/>
  <c r="V92" i="59"/>
  <c r="U36" i="59"/>
  <c r="U37" i="59" s="1"/>
  <c r="G34" i="73" s="1"/>
  <c r="H68" i="61"/>
  <c r="H61" i="61"/>
  <c r="W113" i="59"/>
  <c r="W23" i="59" s="1"/>
  <c r="V86" i="59"/>
  <c r="V33" i="59"/>
  <c r="V34" i="59"/>
  <c r="V35" i="59"/>
  <c r="V87" i="59"/>
  <c r="V88" i="59"/>
  <c r="V85" i="59"/>
  <c r="V84" i="59"/>
  <c r="W121" i="59"/>
  <c r="W122" i="59"/>
  <c r="F40" i="71"/>
  <c r="F42" i="71" s="1"/>
  <c r="K40" i="71"/>
  <c r="K42" i="71" s="1"/>
  <c r="N40" i="71"/>
  <c r="N42" i="71" s="1"/>
  <c r="G40" i="71"/>
  <c r="G42" i="71" s="1"/>
  <c r="D40" i="71"/>
  <c r="D42" i="71" s="1"/>
  <c r="H40" i="71"/>
  <c r="H42" i="71" s="1"/>
  <c r="E40" i="71"/>
  <c r="E42" i="71" s="1"/>
  <c r="G23" i="73"/>
  <c r="I40" i="71"/>
  <c r="I42" i="71" s="1"/>
  <c r="M40" i="71"/>
  <c r="M42" i="71" s="1"/>
  <c r="J40" i="71"/>
  <c r="J42" i="71" s="1"/>
  <c r="C40" i="71"/>
  <c r="L40" i="71"/>
  <c r="L42" i="71" s="1"/>
  <c r="W91" i="59" l="1"/>
  <c r="W90" i="59"/>
  <c r="W89" i="59"/>
  <c r="W92" i="59"/>
  <c r="N48" i="71"/>
  <c r="N50" i="71" s="1"/>
  <c r="F48" i="71"/>
  <c r="F50" i="71" s="1"/>
  <c r="M48" i="71"/>
  <c r="M50" i="71" s="1"/>
  <c r="E48" i="71"/>
  <c r="E50" i="71" s="1"/>
  <c r="L48" i="71"/>
  <c r="L50" i="71" s="1"/>
  <c r="D48" i="71"/>
  <c r="D50" i="71" s="1"/>
  <c r="K48" i="71"/>
  <c r="K50" i="71" s="1"/>
  <c r="C48" i="71"/>
  <c r="C50" i="71" s="1"/>
  <c r="J48" i="71"/>
  <c r="J50" i="71" s="1"/>
  <c r="I48" i="71"/>
  <c r="I50" i="71" s="1"/>
  <c r="H48" i="71"/>
  <c r="H50" i="71" s="1"/>
  <c r="G48" i="71"/>
  <c r="G50" i="71" s="1"/>
  <c r="W35" i="59"/>
  <c r="W34" i="59"/>
  <c r="W33" i="59"/>
  <c r="W87" i="59"/>
  <c r="W88" i="59"/>
  <c r="W86" i="59"/>
  <c r="W85" i="59"/>
  <c r="W84" i="59"/>
  <c r="V36" i="59"/>
  <c r="V37" i="59" s="1"/>
  <c r="G31" i="74"/>
  <c r="G33" i="74" s="1"/>
  <c r="G36" i="73"/>
  <c r="O40" i="71"/>
  <c r="O42" i="71" s="1"/>
  <c r="C42" i="71"/>
  <c r="I61" i="61"/>
  <c r="I68" i="61"/>
  <c r="G25" i="73"/>
  <c r="G22" i="74"/>
  <c r="G24" i="74" s="1"/>
  <c r="O48" i="71" l="1"/>
  <c r="O50" i="71" s="1"/>
  <c r="C56" i="71"/>
  <c r="E56" i="71"/>
  <c r="E58" i="71" s="1"/>
  <c r="M64" i="71"/>
  <c r="M66" i="71" s="1"/>
  <c r="H56" i="71"/>
  <c r="H58" i="71" s="1"/>
  <c r="K56" i="71"/>
  <c r="K58" i="71" s="1"/>
  <c r="M56" i="71"/>
  <c r="M58" i="71" s="1"/>
  <c r="N56" i="71"/>
  <c r="N58" i="71" s="1"/>
  <c r="F64" i="71"/>
  <c r="F66" i="71" s="1"/>
  <c r="I64" i="71"/>
  <c r="I66" i="71" s="1"/>
  <c r="G44" i="73"/>
  <c r="I56" i="71"/>
  <c r="I58" i="71" s="1"/>
  <c r="D56" i="71"/>
  <c r="D58" i="71" s="1"/>
  <c r="J64" i="71"/>
  <c r="J66" i="71" s="1"/>
  <c r="K64" i="71"/>
  <c r="K66" i="71" s="1"/>
  <c r="N64" i="71"/>
  <c r="N66" i="71" s="1"/>
  <c r="E64" i="71"/>
  <c r="E66" i="71" s="1"/>
  <c r="G64" i="71"/>
  <c r="G66" i="71" s="1"/>
  <c r="F56" i="71"/>
  <c r="F58" i="71" s="1"/>
  <c r="J56" i="71"/>
  <c r="J58" i="71" s="1"/>
  <c r="L64" i="71"/>
  <c r="L66" i="71" s="1"/>
  <c r="H64" i="71"/>
  <c r="H66" i="71" s="1"/>
  <c r="D64" i="71"/>
  <c r="D66" i="71" s="1"/>
  <c r="G56" i="71"/>
  <c r="G58" i="71" s="1"/>
  <c r="L56" i="71"/>
  <c r="L58" i="71" s="1"/>
  <c r="W36" i="59"/>
  <c r="W37" i="59" s="1"/>
  <c r="C64" i="71" s="1"/>
  <c r="G46" i="73" l="1"/>
  <c r="G40" i="74"/>
  <c r="G42" i="74" s="1"/>
  <c r="C58" i="71"/>
  <c r="O56" i="71"/>
  <c r="O58" i="71" s="1"/>
  <c r="G54" i="73"/>
  <c r="G56" i="73" l="1"/>
  <c r="G49" i="74"/>
  <c r="G51" i="74" s="1"/>
  <c r="O64" i="71"/>
  <c r="O66" i="71" s="1"/>
  <c r="C66" i="71"/>
  <c r="S122" i="59" l="1"/>
  <c r="S110" i="59"/>
  <c r="S124" i="59"/>
  <c r="S112" i="59"/>
  <c r="S121" i="59" l="1"/>
  <c r="S109" i="59"/>
  <c r="S113" i="59" s="1"/>
  <c r="S23" i="59" s="1"/>
  <c r="S91" i="59" l="1"/>
  <c r="S92" i="59"/>
  <c r="S90" i="59"/>
  <c r="S89" i="59"/>
  <c r="S34" i="59"/>
  <c r="S35" i="59"/>
  <c r="S33" i="59"/>
  <c r="S88" i="59"/>
  <c r="S87" i="59"/>
  <c r="S84" i="59"/>
  <c r="S85" i="59"/>
  <c r="S86" i="59"/>
  <c r="E68" i="61"/>
  <c r="E61" i="61"/>
  <c r="S36" i="59" l="1"/>
  <c r="S37" i="59" s="1"/>
  <c r="D32" i="71" s="1"/>
  <c r="D34" i="71" s="1"/>
  <c r="G32" i="71" l="1"/>
  <c r="G34" i="71" s="1"/>
  <c r="H32" i="71"/>
  <c r="H34" i="71" s="1"/>
  <c r="J32" i="71"/>
  <c r="J34" i="71" s="1"/>
  <c r="E32" i="71"/>
  <c r="E34" i="71" s="1"/>
  <c r="G12" i="73"/>
  <c r="G14" i="73" s="1"/>
  <c r="I32" i="71"/>
  <c r="I34" i="71" s="1"/>
  <c r="M32" i="71"/>
  <c r="M34" i="71" s="1"/>
  <c r="F32" i="71"/>
  <c r="F34" i="71" s="1"/>
  <c r="K32" i="71"/>
  <c r="K34" i="71" s="1"/>
  <c r="L32" i="71"/>
  <c r="L34" i="71" s="1"/>
  <c r="C32" i="71"/>
  <c r="C34" i="71" s="1"/>
  <c r="N32" i="71"/>
  <c r="N34" i="71" s="1"/>
  <c r="G11" i="74"/>
  <c r="G13" i="74" s="1"/>
  <c r="O32" i="71" l="1"/>
  <c r="O34" i="71" s="1"/>
  <c r="T153" i="59"/>
  <c r="S153" i="59" l="1"/>
  <c r="V153" i="59" l="1"/>
  <c r="W153" i="59"/>
  <c r="S75" i="59" l="1"/>
  <c r="S73" i="59" l="1"/>
  <c r="S74" i="59"/>
  <c r="S118" i="59"/>
  <c r="T75" i="59"/>
  <c r="T74" i="59" l="1"/>
  <c r="T118" i="59"/>
  <c r="S117" i="59"/>
  <c r="T73" i="59"/>
  <c r="S116" i="59"/>
  <c r="U75" i="59"/>
  <c r="T117" i="59" l="1"/>
  <c r="U118" i="59"/>
  <c r="E58" i="61"/>
  <c r="E59" i="61"/>
  <c r="S125" i="59"/>
  <c r="S155" i="59" s="1"/>
  <c r="T116" i="59"/>
  <c r="U73" i="59"/>
  <c r="U74" i="59"/>
  <c r="V75" i="59"/>
  <c r="S11" i="58" l="1"/>
  <c r="S157" i="59"/>
  <c r="F59" i="61"/>
  <c r="F58" i="61"/>
  <c r="T125" i="59"/>
  <c r="T155" i="59" s="1"/>
  <c r="V73" i="59"/>
  <c r="U117" i="59"/>
  <c r="V118" i="59"/>
  <c r="W75" i="59"/>
  <c r="V74" i="59"/>
  <c r="U116" i="59"/>
  <c r="W74" i="59" l="1"/>
  <c r="W118" i="59"/>
  <c r="L11" i="80"/>
  <c r="D12" i="73"/>
  <c r="G59" i="61"/>
  <c r="G58" i="61"/>
  <c r="U125" i="59"/>
  <c r="U155" i="59" s="1"/>
  <c r="W73" i="59"/>
  <c r="V116" i="59"/>
  <c r="T11" i="58"/>
  <c r="T157" i="59"/>
  <c r="V117" i="59"/>
  <c r="D23" i="73" l="1"/>
  <c r="M11" i="80"/>
  <c r="U11" i="58"/>
  <c r="U157" i="59"/>
  <c r="W117" i="59"/>
  <c r="W116" i="59"/>
  <c r="D11" i="74"/>
  <c r="K12" i="73"/>
  <c r="H59" i="61"/>
  <c r="H58" i="61"/>
  <c r="V125" i="59"/>
  <c r="V155" i="59" s="1"/>
  <c r="V11" i="58" l="1"/>
  <c r="V157" i="59"/>
  <c r="D22" i="74"/>
  <c r="K23" i="73"/>
  <c r="K11" i="74"/>
  <c r="K13" i="74" s="1"/>
  <c r="K14" i="73"/>
  <c r="I59" i="61"/>
  <c r="I58" i="61"/>
  <c r="W125" i="59"/>
  <c r="W155" i="59" s="1"/>
  <c r="D34" i="73"/>
  <c r="N11" i="80"/>
  <c r="W11" i="58" l="1"/>
  <c r="W157" i="59"/>
  <c r="D31" i="74"/>
  <c r="K34" i="73"/>
  <c r="K25" i="73"/>
  <c r="K22" i="74"/>
  <c r="K24" i="74" s="1"/>
  <c r="D44" i="73"/>
  <c r="O11" i="80"/>
  <c r="K31" i="74" l="1"/>
  <c r="K33" i="74" s="1"/>
  <c r="K36" i="73"/>
  <c r="D54" i="73"/>
  <c r="P11" i="80"/>
  <c r="D40" i="74"/>
  <c r="K44" i="73"/>
  <c r="K46" i="73" l="1"/>
  <c r="K40" i="74"/>
  <c r="K42" i="74" s="1"/>
  <c r="D49" i="74"/>
  <c r="K54" i="73"/>
  <c r="K56" i="73" l="1"/>
  <c r="K49" i="74"/>
  <c r="K51" i="74" s="1"/>
  <c r="D79" i="67" l="1"/>
  <c r="F50" i="67" l="1"/>
  <c r="H50" i="67"/>
  <c r="G50" i="67"/>
  <c r="G57" i="67"/>
  <c r="H57" i="67"/>
  <c r="F57" i="67"/>
  <c r="E79" i="67"/>
  <c r="G63" i="67"/>
  <c r="F63" i="67"/>
  <c r="H63" i="67"/>
  <c r="F69" i="67"/>
  <c r="H69" i="67"/>
  <c r="G69" i="67"/>
  <c r="F75" i="67"/>
  <c r="H75" i="67"/>
  <c r="G75" i="67"/>
  <c r="G65" i="67"/>
  <c r="H65" i="67"/>
  <c r="F65" i="67"/>
  <c r="G77" i="67"/>
  <c r="H77" i="67"/>
  <c r="F77" i="67"/>
  <c r="G53" i="67"/>
  <c r="F53" i="67"/>
  <c r="H53" i="67"/>
  <c r="G60" i="67"/>
  <c r="H60" i="67"/>
  <c r="F60" i="67"/>
  <c r="F66" i="67"/>
  <c r="G66" i="67"/>
  <c r="H66" i="67"/>
  <c r="G72" i="67"/>
  <c r="H72" i="67"/>
  <c r="F72" i="67"/>
  <c r="F78" i="67"/>
  <c r="G78" i="67"/>
  <c r="H78" i="67"/>
  <c r="G52" i="67"/>
  <c r="H52" i="67"/>
  <c r="F52" i="67"/>
  <c r="F59" i="67"/>
  <c r="G59" i="67"/>
  <c r="H59" i="67"/>
  <c r="F71" i="67"/>
  <c r="G71" i="67"/>
  <c r="H71" i="67"/>
  <c r="F51" i="67"/>
  <c r="H51" i="67"/>
  <c r="G51" i="67"/>
  <c r="G58" i="67"/>
  <c r="H58" i="67"/>
  <c r="F58" i="67"/>
  <c r="G64" i="67"/>
  <c r="H64" i="67"/>
  <c r="F64" i="67"/>
  <c r="G70" i="67"/>
  <c r="F70" i="67"/>
  <c r="H70" i="67"/>
  <c r="G76" i="67"/>
  <c r="H76" i="67"/>
  <c r="F76" i="67"/>
  <c r="G79" i="67" l="1"/>
  <c r="H79" i="67"/>
  <c r="F79" i="67"/>
  <c r="H49" i="81" l="1"/>
  <c r="K18" i="81" l="1"/>
  <c r="L18" i="81" s="1"/>
  <c r="L15" i="59"/>
  <c r="L18" i="59"/>
  <c r="K21" i="81"/>
  <c r="L21" i="81" s="1"/>
  <c r="L19" i="59"/>
  <c r="K22" i="81"/>
  <c r="L22" i="81" s="1"/>
  <c r="L16" i="59"/>
  <c r="K19" i="81"/>
  <c r="L19" i="81" s="1"/>
  <c r="D4" i="100" l="1"/>
  <c r="F16" i="81"/>
  <c r="H16" i="81" s="1"/>
  <c r="G13" i="59"/>
  <c r="J26" i="81"/>
  <c r="L26" i="81" s="1"/>
  <c r="G21" i="59"/>
  <c r="F26" i="81"/>
  <c r="H26" i="81" s="1"/>
  <c r="J16" i="81" l="1"/>
  <c r="L16" i="81" s="1"/>
  <c r="E4" i="100"/>
  <c r="G19" i="81"/>
  <c r="H19" i="81" s="1"/>
  <c r="F16" i="59"/>
  <c r="F13" i="61" s="1"/>
  <c r="F19" i="59"/>
  <c r="F16" i="61" s="1"/>
  <c r="G22" i="81"/>
  <c r="H22" i="81" s="1"/>
  <c r="F15" i="59"/>
  <c r="F12" i="61" s="1"/>
  <c r="G18" i="81"/>
  <c r="H18" i="81" s="1"/>
  <c r="F18" i="59"/>
  <c r="F15" i="61" s="1"/>
  <c r="G21" i="81"/>
  <c r="H21" i="81" s="1"/>
  <c r="F21" i="59"/>
  <c r="H21" i="59" s="1"/>
  <c r="F13" i="59"/>
  <c r="H13" i="59" s="1"/>
  <c r="J13" i="59"/>
  <c r="L13" i="59" s="1"/>
  <c r="J21" i="59"/>
  <c r="L21" i="59" s="1"/>
  <c r="H19" i="59" l="1"/>
  <c r="H15" i="59"/>
  <c r="H16" i="59"/>
  <c r="H18" i="59"/>
  <c r="E56" i="118"/>
  <c r="J52" i="118"/>
  <c r="J44" i="118"/>
  <c r="O42" i="118" l="1"/>
  <c r="J41" i="118"/>
  <c r="J49" i="118"/>
  <c r="O47" i="118"/>
  <c r="O55" i="118"/>
  <c r="E45" i="118"/>
  <c r="E53" i="118"/>
  <c r="J43" i="118"/>
  <c r="J51" i="118"/>
  <c r="O41" i="118"/>
  <c r="O49" i="118"/>
  <c r="E47" i="118"/>
  <c r="E55" i="118"/>
  <c r="J42" i="118"/>
  <c r="J50" i="118"/>
  <c r="O48" i="118"/>
  <c r="O56" i="118"/>
  <c r="E46" i="118"/>
  <c r="E54" i="118"/>
  <c r="J48" i="118"/>
  <c r="J56" i="118"/>
  <c r="O46" i="118"/>
  <c r="O54" i="118"/>
  <c r="E44" i="118"/>
  <c r="E52" i="118"/>
  <c r="J47" i="118"/>
  <c r="J55" i="118"/>
  <c r="O45" i="118"/>
  <c r="O53" i="118"/>
  <c r="E43" i="118"/>
  <c r="E51" i="118"/>
  <c r="J45" i="118"/>
  <c r="J53" i="118"/>
  <c r="O43" i="118"/>
  <c r="O51" i="118"/>
  <c r="E41" i="118"/>
  <c r="E49" i="118"/>
  <c r="J46" i="118"/>
  <c r="J54" i="118"/>
  <c r="O44" i="118"/>
  <c r="O52" i="118"/>
  <c r="E42" i="118"/>
  <c r="E50" i="118"/>
  <c r="O50" i="118"/>
  <c r="E48" i="118"/>
  <c r="O31" i="104"/>
  <c r="O57" i="70"/>
  <c r="O40" i="118"/>
  <c r="T31" i="104"/>
  <c r="E40" i="118"/>
  <c r="E57" i="70"/>
  <c r="J31" i="104"/>
  <c r="J40" i="118"/>
  <c r="J57" i="70"/>
  <c r="J57" i="118" l="1"/>
  <c r="Q12" i="93" s="1"/>
  <c r="E57" i="118"/>
  <c r="P12" i="93" s="1"/>
  <c r="O57" i="118"/>
  <c r="R12" i="93" s="1"/>
  <c r="E31" i="104"/>
  <c r="T30" i="118"/>
  <c r="T29" i="118"/>
  <c r="T28" i="118"/>
  <c r="T27" i="118"/>
  <c r="T26" i="118"/>
  <c r="T25" i="118"/>
  <c r="T24" i="118"/>
  <c r="T23" i="118"/>
  <c r="T22" i="118"/>
  <c r="T21" i="118"/>
  <c r="T20" i="118"/>
  <c r="T19" i="118"/>
  <c r="T18" i="118"/>
  <c r="T17" i="118"/>
  <c r="T16" i="118"/>
  <c r="T15" i="118"/>
  <c r="Q14" i="93" l="1"/>
  <c r="Q15" i="93" s="1"/>
  <c r="T14" i="118"/>
  <c r="T31" i="118" s="1"/>
  <c r="T31" i="70"/>
  <c r="R14" i="93"/>
  <c r="R15" i="93" s="1"/>
  <c r="P14" i="93"/>
  <c r="P15" i="93" s="1"/>
  <c r="G56" i="55" l="1"/>
  <c r="G64" i="55" s="1"/>
  <c r="P17" i="54"/>
  <c r="O12" i="93"/>
  <c r="E56" i="55"/>
  <c r="E64" i="55" s="1"/>
  <c r="N17" i="54"/>
  <c r="O17" i="54"/>
  <c r="F56" i="55"/>
  <c r="F64" i="55" s="1"/>
  <c r="O14" i="93" l="1"/>
  <c r="O15" i="93" s="1"/>
  <c r="M17" i="54" l="1"/>
  <c r="D56" i="55"/>
  <c r="D64" i="55" s="1"/>
  <c r="E30" i="118" l="1"/>
  <c r="E29" i="118"/>
  <c r="E28" i="118"/>
  <c r="E27" i="118"/>
  <c r="E26" i="118"/>
  <c r="E25" i="118"/>
  <c r="E24" i="118"/>
  <c r="E23" i="118"/>
  <c r="E22" i="118"/>
  <c r="E21" i="118"/>
  <c r="E20" i="118"/>
  <c r="E19" i="118"/>
  <c r="E18" i="118"/>
  <c r="E17" i="118"/>
  <c r="E16" i="118"/>
  <c r="E15" i="118"/>
  <c r="U31" i="70" l="1"/>
  <c r="U57" i="70"/>
  <c r="E31" i="70"/>
  <c r="E14" i="118"/>
  <c r="E31" i="118" s="1"/>
  <c r="F57" i="70"/>
  <c r="P57" i="70"/>
  <c r="T57" i="70"/>
  <c r="K57" i="70"/>
  <c r="F84" i="104"/>
  <c r="F83" i="104"/>
  <c r="F82" i="104"/>
  <c r="F81" i="104"/>
  <c r="F80" i="104"/>
  <c r="F79" i="104"/>
  <c r="F78" i="104"/>
  <c r="F77" i="104"/>
  <c r="F76" i="104"/>
  <c r="F75" i="104"/>
  <c r="F74" i="104"/>
  <c r="F73" i="104"/>
  <c r="F72" i="104"/>
  <c r="F71" i="104"/>
  <c r="F70" i="104"/>
  <c r="F69" i="104"/>
  <c r="U14" i="118"/>
  <c r="T56" i="118"/>
  <c r="T55" i="118"/>
  <c r="T54" i="118"/>
  <c r="T53" i="118"/>
  <c r="T52" i="118"/>
  <c r="T51" i="118"/>
  <c r="T50" i="118"/>
  <c r="T49" i="118"/>
  <c r="T48" i="118"/>
  <c r="T47" i="118"/>
  <c r="T46" i="118"/>
  <c r="T45" i="118"/>
  <c r="T44" i="118"/>
  <c r="T43" i="118"/>
  <c r="T42" i="118"/>
  <c r="T41" i="118"/>
  <c r="U56" i="118"/>
  <c r="U55" i="118"/>
  <c r="U54" i="118"/>
  <c r="U53" i="118"/>
  <c r="U52" i="118"/>
  <c r="U51" i="118"/>
  <c r="U50" i="118"/>
  <c r="U49" i="118"/>
  <c r="U48" i="118"/>
  <c r="U47" i="118"/>
  <c r="U46" i="118"/>
  <c r="U45" i="118"/>
  <c r="U44" i="118"/>
  <c r="U43" i="118"/>
  <c r="U42" i="118"/>
  <c r="U41" i="118"/>
  <c r="P56" i="118"/>
  <c r="P55" i="118"/>
  <c r="P54" i="118"/>
  <c r="P53" i="118"/>
  <c r="P52" i="118"/>
  <c r="P51" i="118"/>
  <c r="P50" i="118"/>
  <c r="P49" i="118"/>
  <c r="P48" i="118"/>
  <c r="P47" i="118"/>
  <c r="P46" i="118"/>
  <c r="P45" i="118"/>
  <c r="P44" i="118"/>
  <c r="P43" i="118"/>
  <c r="P42" i="118"/>
  <c r="P41" i="118"/>
  <c r="K56" i="118"/>
  <c r="K55" i="118"/>
  <c r="K54" i="118"/>
  <c r="K53" i="118"/>
  <c r="K52" i="118"/>
  <c r="K51" i="118"/>
  <c r="K50" i="118"/>
  <c r="K49" i="118"/>
  <c r="K48" i="118"/>
  <c r="K47" i="118"/>
  <c r="K46" i="118"/>
  <c r="K45" i="118"/>
  <c r="K44" i="118"/>
  <c r="K43" i="118"/>
  <c r="K42" i="118"/>
  <c r="K41" i="118"/>
  <c r="K40" i="118"/>
  <c r="F56" i="118"/>
  <c r="F55" i="118"/>
  <c r="F54" i="118"/>
  <c r="F53" i="118"/>
  <c r="F52" i="118"/>
  <c r="F51" i="118"/>
  <c r="F50" i="118"/>
  <c r="F49" i="118"/>
  <c r="F48" i="118"/>
  <c r="F47" i="118"/>
  <c r="F46" i="118"/>
  <c r="F45" i="118"/>
  <c r="F44" i="118"/>
  <c r="F43" i="118"/>
  <c r="F42" i="118"/>
  <c r="F41" i="118"/>
  <c r="F40" i="118"/>
  <c r="K15" i="118"/>
  <c r="K16" i="118"/>
  <c r="K17" i="118"/>
  <c r="K18" i="118"/>
  <c r="K19" i="118"/>
  <c r="K20" i="118"/>
  <c r="K21" i="118"/>
  <c r="K22" i="118"/>
  <c r="K23" i="118"/>
  <c r="K24" i="118"/>
  <c r="K25" i="118"/>
  <c r="K26" i="118"/>
  <c r="K27" i="118"/>
  <c r="K28" i="118"/>
  <c r="K29" i="118"/>
  <c r="K30" i="118"/>
  <c r="F15" i="118"/>
  <c r="F16" i="118"/>
  <c r="F17" i="118"/>
  <c r="F18" i="118"/>
  <c r="F19" i="118"/>
  <c r="F20" i="118"/>
  <c r="F21" i="118"/>
  <c r="F22" i="118"/>
  <c r="F23" i="118"/>
  <c r="F24" i="118"/>
  <c r="F25" i="118"/>
  <c r="F26" i="118"/>
  <c r="F27" i="118"/>
  <c r="F28" i="118"/>
  <c r="F29" i="118"/>
  <c r="F30" i="118"/>
  <c r="J15" i="118"/>
  <c r="J16" i="118"/>
  <c r="J17" i="118"/>
  <c r="J18" i="118"/>
  <c r="J19" i="118"/>
  <c r="J20" i="118"/>
  <c r="J21" i="118"/>
  <c r="J22" i="118"/>
  <c r="J23" i="118"/>
  <c r="J24" i="118"/>
  <c r="J25" i="118"/>
  <c r="J26" i="118"/>
  <c r="J27" i="118"/>
  <c r="J28" i="118"/>
  <c r="J29" i="118"/>
  <c r="J30" i="118"/>
  <c r="K57" i="118" l="1"/>
  <c r="U30" i="118"/>
  <c r="D70" i="104"/>
  <c r="E44" i="104"/>
  <c r="H16" i="104"/>
  <c r="I16" i="104" s="1"/>
  <c r="E45" i="104"/>
  <c r="H17" i="104"/>
  <c r="I17" i="104" s="1"/>
  <c r="D71" i="104"/>
  <c r="D79" i="104"/>
  <c r="H25" i="104"/>
  <c r="I25" i="104" s="1"/>
  <c r="E53" i="104"/>
  <c r="U17" i="118"/>
  <c r="U22" i="118"/>
  <c r="J14" i="118"/>
  <c r="J31" i="118" s="1"/>
  <c r="J31" i="70"/>
  <c r="U31" i="104"/>
  <c r="E46" i="104"/>
  <c r="D72" i="104"/>
  <c r="H18" i="104"/>
  <c r="I18" i="104" s="1"/>
  <c r="H26" i="104"/>
  <c r="I26" i="104" s="1"/>
  <c r="M26" i="104" s="1"/>
  <c r="N26" i="104" s="1"/>
  <c r="D80" i="104"/>
  <c r="E54" i="104"/>
  <c r="U27" i="118"/>
  <c r="U23" i="118"/>
  <c r="D78" i="104"/>
  <c r="H24" i="104"/>
  <c r="I24" i="104" s="1"/>
  <c r="E52" i="104"/>
  <c r="U40" i="118"/>
  <c r="U57" i="118" s="1"/>
  <c r="Z31" i="104"/>
  <c r="H19" i="104"/>
  <c r="I19" i="104" s="1"/>
  <c r="D73" i="104"/>
  <c r="E47" i="104"/>
  <c r="H27" i="104"/>
  <c r="I27" i="104" s="1"/>
  <c r="D81" i="104"/>
  <c r="E55" i="104"/>
  <c r="U24" i="118"/>
  <c r="U15" i="118"/>
  <c r="T40" i="118"/>
  <c r="T57" i="118" s="1"/>
  <c r="Y31" i="104"/>
  <c r="H20" i="104"/>
  <c r="I20" i="104" s="1"/>
  <c r="M20" i="104" s="1"/>
  <c r="N20" i="104" s="1"/>
  <c r="R20" i="104" s="1"/>
  <c r="S20" i="104" s="1"/>
  <c r="D74" i="104"/>
  <c r="E48" i="104"/>
  <c r="E56" i="104"/>
  <c r="H28" i="104"/>
  <c r="I28" i="104" s="1"/>
  <c r="D82" i="104"/>
  <c r="U16" i="118"/>
  <c r="E12" i="93"/>
  <c r="U29" i="118"/>
  <c r="P31" i="104"/>
  <c r="U25" i="118"/>
  <c r="F31" i="70"/>
  <c r="F14" i="118"/>
  <c r="F31" i="118" s="1"/>
  <c r="F31" i="104"/>
  <c r="F68" i="104"/>
  <c r="F85" i="104" s="1"/>
  <c r="H21" i="104"/>
  <c r="I21" i="104" s="1"/>
  <c r="D75" i="104"/>
  <c r="E49" i="104"/>
  <c r="E57" i="104"/>
  <c r="D83" i="104"/>
  <c r="H29" i="104"/>
  <c r="I29" i="104" s="1"/>
  <c r="U21" i="118"/>
  <c r="F57" i="118"/>
  <c r="K14" i="118"/>
  <c r="K31" i="118" s="1"/>
  <c r="K31" i="70"/>
  <c r="D31" i="104"/>
  <c r="H14" i="104"/>
  <c r="E42" i="104"/>
  <c r="D68" i="104"/>
  <c r="D76" i="104"/>
  <c r="H22" i="104"/>
  <c r="I22" i="104" s="1"/>
  <c r="M22" i="104" s="1"/>
  <c r="N22" i="104" s="1"/>
  <c r="E50" i="104"/>
  <c r="H30" i="104"/>
  <c r="I30" i="104" s="1"/>
  <c r="D84" i="104"/>
  <c r="E58" i="104"/>
  <c r="U26" i="118"/>
  <c r="P40" i="118"/>
  <c r="P57" i="118" s="1"/>
  <c r="U19" i="118"/>
  <c r="U28" i="118"/>
  <c r="K31" i="104"/>
  <c r="D69" i="104"/>
  <c r="E43" i="104"/>
  <c r="H15" i="104"/>
  <c r="I15" i="104" s="1"/>
  <c r="H23" i="104"/>
  <c r="I23" i="104" s="1"/>
  <c r="D77" i="104"/>
  <c r="E51" i="104"/>
  <c r="U18" i="118"/>
  <c r="U20" i="118"/>
  <c r="U31" i="118" l="1"/>
  <c r="H47" i="104"/>
  <c r="I47" i="104" s="1"/>
  <c r="I73" i="104" s="1"/>
  <c r="E73" i="104"/>
  <c r="H73" i="104" s="1"/>
  <c r="E14" i="93"/>
  <c r="E15" i="93" s="1"/>
  <c r="F12" i="93"/>
  <c r="F14" i="93" s="1"/>
  <c r="M23" i="104"/>
  <c r="N23" i="104" s="1"/>
  <c r="D85" i="104"/>
  <c r="M29" i="104"/>
  <c r="N29" i="104" s="1"/>
  <c r="S12" i="93"/>
  <c r="M19" i="104"/>
  <c r="N19" i="104" s="1"/>
  <c r="H54" i="104"/>
  <c r="I54" i="104" s="1"/>
  <c r="E80" i="104"/>
  <c r="H80" i="104" s="1"/>
  <c r="M17" i="104"/>
  <c r="N17" i="104" s="1"/>
  <c r="H51" i="104"/>
  <c r="I51" i="104" s="1"/>
  <c r="I77" i="104" s="1"/>
  <c r="E77" i="104"/>
  <c r="H77" i="104" s="1"/>
  <c r="M15" i="104"/>
  <c r="N15" i="104" s="1"/>
  <c r="H42" i="104"/>
  <c r="E59" i="104"/>
  <c r="E68" i="104"/>
  <c r="H12" i="93"/>
  <c r="H45" i="104"/>
  <c r="I45" i="104" s="1"/>
  <c r="E71" i="104"/>
  <c r="H71" i="104" s="1"/>
  <c r="R22" i="104"/>
  <c r="S22" i="104" s="1"/>
  <c r="H43" i="104"/>
  <c r="I43" i="104" s="1"/>
  <c r="I69" i="104" s="1"/>
  <c r="E69" i="104"/>
  <c r="H69" i="104" s="1"/>
  <c r="H58" i="104"/>
  <c r="I58" i="104" s="1"/>
  <c r="I84" i="104" s="1"/>
  <c r="E84" i="104"/>
  <c r="H84" i="104" s="1"/>
  <c r="I14" i="104"/>
  <c r="H31" i="104"/>
  <c r="H57" i="104"/>
  <c r="I57" i="104" s="1"/>
  <c r="E83" i="104"/>
  <c r="H83" i="104" s="1"/>
  <c r="M28" i="104"/>
  <c r="N28" i="104" s="1"/>
  <c r="R26" i="104"/>
  <c r="S26" i="104" s="1"/>
  <c r="W26" i="104" s="1"/>
  <c r="X26" i="104" s="1"/>
  <c r="M16" i="104"/>
  <c r="N16" i="104" s="1"/>
  <c r="H49" i="104"/>
  <c r="I49" i="104" s="1"/>
  <c r="I75" i="104" s="1"/>
  <c r="E75" i="104"/>
  <c r="H75" i="104" s="1"/>
  <c r="H56" i="104"/>
  <c r="I56" i="104" s="1"/>
  <c r="E82" i="104"/>
  <c r="H82" i="104" s="1"/>
  <c r="H55" i="104"/>
  <c r="I55" i="104" s="1"/>
  <c r="E81" i="104"/>
  <c r="H81" i="104" s="1"/>
  <c r="H52" i="104"/>
  <c r="I52" i="104" s="1"/>
  <c r="E78" i="104"/>
  <c r="H78" i="104" s="1"/>
  <c r="M18" i="104"/>
  <c r="N18" i="104" s="1"/>
  <c r="H44" i="104"/>
  <c r="I44" i="104" s="1"/>
  <c r="I70" i="104" s="1"/>
  <c r="E70" i="104"/>
  <c r="H70" i="104" s="1"/>
  <c r="W20" i="104"/>
  <c r="X20" i="104" s="1"/>
  <c r="M30" i="104"/>
  <c r="N30" i="104" s="1"/>
  <c r="H48" i="104"/>
  <c r="I48" i="104" s="1"/>
  <c r="E74" i="104"/>
  <c r="H74" i="104" s="1"/>
  <c r="M24" i="104"/>
  <c r="N24" i="104" s="1"/>
  <c r="H53" i="104"/>
  <c r="I53" i="104" s="1"/>
  <c r="I79" i="104" s="1"/>
  <c r="E79" i="104"/>
  <c r="H79" i="104" s="1"/>
  <c r="H50" i="104"/>
  <c r="I50" i="104" s="1"/>
  <c r="E76" i="104"/>
  <c r="H76" i="104" s="1"/>
  <c r="M21" i="104"/>
  <c r="N21" i="104" s="1"/>
  <c r="M27" i="104"/>
  <c r="N27" i="104" s="1"/>
  <c r="H46" i="104"/>
  <c r="I46" i="104" s="1"/>
  <c r="E72" i="104"/>
  <c r="H72" i="104" s="1"/>
  <c r="M25" i="104"/>
  <c r="N25" i="104" s="1"/>
  <c r="R25" i="104" l="1"/>
  <c r="S25" i="104" s="1"/>
  <c r="I76" i="104"/>
  <c r="J50" i="104"/>
  <c r="J76" i="104" s="1"/>
  <c r="K50" i="104"/>
  <c r="K76" i="104" s="1"/>
  <c r="R30" i="104"/>
  <c r="S30" i="104" s="1"/>
  <c r="K52" i="104"/>
  <c r="K78" i="104" s="1"/>
  <c r="J52" i="104"/>
  <c r="J78" i="104" s="1"/>
  <c r="J57" i="104"/>
  <c r="J83" i="104" s="1"/>
  <c r="K57" i="104"/>
  <c r="K83" i="104" s="1"/>
  <c r="W22" i="104"/>
  <c r="X22" i="104" s="1"/>
  <c r="H59" i="104"/>
  <c r="I42" i="104"/>
  <c r="R15" i="104"/>
  <c r="S15" i="104" s="1"/>
  <c r="R19" i="104"/>
  <c r="S19" i="104" s="1"/>
  <c r="R23" i="104"/>
  <c r="S23" i="104" s="1"/>
  <c r="W23" i="104" s="1"/>
  <c r="X23" i="104" s="1"/>
  <c r="K46" i="104"/>
  <c r="K72" i="104" s="1"/>
  <c r="J46" i="104"/>
  <c r="J72" i="104" s="1"/>
  <c r="J53" i="104"/>
  <c r="J79" i="104" s="1"/>
  <c r="K53" i="104"/>
  <c r="K79" i="104" s="1"/>
  <c r="AB20" i="104"/>
  <c r="K55" i="104"/>
  <c r="K81" i="104" s="1"/>
  <c r="J55" i="104"/>
  <c r="J81" i="104" s="1"/>
  <c r="R16" i="104"/>
  <c r="S16" i="104" s="1"/>
  <c r="M14" i="104"/>
  <c r="I31" i="104"/>
  <c r="K45" i="104"/>
  <c r="K71" i="104" s="1"/>
  <c r="J45" i="104"/>
  <c r="J71" i="104" s="1"/>
  <c r="I80" i="104"/>
  <c r="J54" i="104"/>
  <c r="J80" i="104" s="1"/>
  <c r="K54" i="104"/>
  <c r="K80" i="104" s="1"/>
  <c r="I81" i="104"/>
  <c r="I78" i="104"/>
  <c r="K51" i="104"/>
  <c r="K77" i="104" s="1"/>
  <c r="J51" i="104"/>
  <c r="J77" i="104" s="1"/>
  <c r="S14" i="93"/>
  <c r="S15" i="93" s="1"/>
  <c r="E12" i="55"/>
  <c r="F12" i="55" s="1"/>
  <c r="E17" i="54"/>
  <c r="F17" i="54" s="1"/>
  <c r="R27" i="104"/>
  <c r="S27" i="104" s="1"/>
  <c r="R24" i="104"/>
  <c r="S24" i="104" s="1"/>
  <c r="J44" i="104"/>
  <c r="J70" i="104" s="1"/>
  <c r="K44" i="104"/>
  <c r="K70" i="104" s="1"/>
  <c r="K56" i="104"/>
  <c r="K82" i="104" s="1"/>
  <c r="J56" i="104"/>
  <c r="J82" i="104" s="1"/>
  <c r="AB26" i="104"/>
  <c r="J58" i="104"/>
  <c r="J84" i="104" s="1"/>
  <c r="K58" i="104"/>
  <c r="K84" i="104" s="1"/>
  <c r="I12" i="93"/>
  <c r="I14" i="93" s="1"/>
  <c r="H14" i="93"/>
  <c r="H15" i="93" s="1"/>
  <c r="I71" i="104"/>
  <c r="I83" i="104"/>
  <c r="I72" i="104"/>
  <c r="I82" i="104"/>
  <c r="E85" i="104"/>
  <c r="R17" i="104"/>
  <c r="S17" i="104" s="1"/>
  <c r="R29" i="104"/>
  <c r="S29" i="104" s="1"/>
  <c r="R21" i="104"/>
  <c r="S21" i="104" s="1"/>
  <c r="I74" i="104"/>
  <c r="J48" i="104"/>
  <c r="J74" i="104" s="1"/>
  <c r="K48" i="104"/>
  <c r="K74" i="104" s="1"/>
  <c r="R18" i="104"/>
  <c r="S18" i="104" s="1"/>
  <c r="K49" i="104"/>
  <c r="K75" i="104" s="1"/>
  <c r="J49" i="104"/>
  <c r="J75" i="104" s="1"/>
  <c r="R28" i="104"/>
  <c r="S28" i="104" s="1"/>
  <c r="K43" i="104"/>
  <c r="K69" i="104" s="1"/>
  <c r="J43" i="104"/>
  <c r="J69" i="104" s="1"/>
  <c r="H68" i="104"/>
  <c r="H85" i="104" s="1"/>
  <c r="J47" i="104"/>
  <c r="J73" i="104" s="1"/>
  <c r="K47" i="104"/>
  <c r="K73" i="104" s="1"/>
  <c r="M77" i="104" l="1"/>
  <c r="M53" i="104"/>
  <c r="N53" i="104" s="1"/>
  <c r="O53" i="104" s="1"/>
  <c r="O79" i="104" s="1"/>
  <c r="M69" i="104"/>
  <c r="M52" i="104"/>
  <c r="N52" i="104" s="1"/>
  <c r="N78" i="104" s="1"/>
  <c r="M84" i="104"/>
  <c r="M45" i="104"/>
  <c r="N45" i="104" s="1"/>
  <c r="P45" i="104" s="1"/>
  <c r="P71" i="104" s="1"/>
  <c r="M73" i="104"/>
  <c r="M75" i="104"/>
  <c r="M78" i="104"/>
  <c r="M79" i="104"/>
  <c r="M54" i="104"/>
  <c r="N54" i="104" s="1"/>
  <c r="P54" i="104" s="1"/>
  <c r="P80" i="104" s="1"/>
  <c r="M70" i="104"/>
  <c r="W17" i="104"/>
  <c r="X17" i="104" s="1"/>
  <c r="W27" i="104"/>
  <c r="X27" i="104" s="1"/>
  <c r="W30" i="104"/>
  <c r="X30" i="104" s="1"/>
  <c r="M47" i="104"/>
  <c r="N47" i="104" s="1"/>
  <c r="W28" i="104"/>
  <c r="X28" i="104" s="1"/>
  <c r="M71" i="104"/>
  <c r="M57" i="104"/>
  <c r="N57" i="104" s="1"/>
  <c r="M50" i="104"/>
  <c r="N50" i="104" s="1"/>
  <c r="M49" i="104"/>
  <c r="N49" i="104" s="1"/>
  <c r="M74" i="104"/>
  <c r="M82" i="104"/>
  <c r="M58" i="104"/>
  <c r="N58" i="104" s="1"/>
  <c r="M44" i="104"/>
  <c r="N44" i="104" s="1"/>
  <c r="I68" i="104"/>
  <c r="J42" i="104"/>
  <c r="I59" i="104"/>
  <c r="K42" i="104"/>
  <c r="M72" i="104"/>
  <c r="M81" i="104"/>
  <c r="M76" i="104"/>
  <c r="W21" i="104"/>
  <c r="X21" i="104" s="1"/>
  <c r="H56" i="55"/>
  <c r="H64" i="55" s="1"/>
  <c r="Q17" i="54"/>
  <c r="N14" i="104"/>
  <c r="M31" i="104"/>
  <c r="AB23" i="104"/>
  <c r="AB22" i="104"/>
  <c r="M43" i="104"/>
  <c r="N43" i="104" s="1"/>
  <c r="M83" i="104"/>
  <c r="M51" i="104"/>
  <c r="N51" i="104" s="1"/>
  <c r="W18" i="104"/>
  <c r="X18" i="104" s="1"/>
  <c r="W29" i="104"/>
  <c r="X29" i="104" s="1"/>
  <c r="W24" i="104"/>
  <c r="X24" i="104" s="1"/>
  <c r="W16" i="104"/>
  <c r="X16" i="104" s="1"/>
  <c r="W19" i="104"/>
  <c r="X19" i="104" s="1"/>
  <c r="W25" i="104"/>
  <c r="X25" i="104" s="1"/>
  <c r="W15" i="104"/>
  <c r="X15" i="104" s="1"/>
  <c r="M48" i="104"/>
  <c r="N48" i="104" s="1"/>
  <c r="H12" i="55"/>
  <c r="H17" i="54"/>
  <c r="I17" i="54" s="1"/>
  <c r="M56" i="104"/>
  <c r="N56" i="104" s="1"/>
  <c r="M80" i="104"/>
  <c r="M55" i="104"/>
  <c r="N55" i="104" s="1"/>
  <c r="M46" i="104"/>
  <c r="N46" i="104" s="1"/>
  <c r="N71" i="104" l="1"/>
  <c r="M42" i="104"/>
  <c r="N42" i="104" s="1"/>
  <c r="N68" i="104" s="1"/>
  <c r="O45" i="104"/>
  <c r="O71" i="104" s="1"/>
  <c r="P52" i="104"/>
  <c r="P78" i="104" s="1"/>
  <c r="P53" i="104"/>
  <c r="P79" i="104" s="1"/>
  <c r="N79" i="104"/>
  <c r="O52" i="104"/>
  <c r="O78" i="104" s="1"/>
  <c r="R78" i="104" s="1"/>
  <c r="N80" i="104"/>
  <c r="O54" i="104"/>
  <c r="O80" i="104" s="1"/>
  <c r="AB18" i="104"/>
  <c r="AB28" i="104"/>
  <c r="N31" i="104"/>
  <c r="R14" i="104"/>
  <c r="AB21" i="104"/>
  <c r="K59" i="104"/>
  <c r="K68" i="104"/>
  <c r="K85" i="104" s="1"/>
  <c r="P49" i="104"/>
  <c r="P75" i="104" s="1"/>
  <c r="O49" i="104"/>
  <c r="O75" i="104" s="1"/>
  <c r="N75" i="104"/>
  <c r="O47" i="104"/>
  <c r="O73" i="104" s="1"/>
  <c r="P47" i="104"/>
  <c r="P73" i="104" s="1"/>
  <c r="N73" i="104"/>
  <c r="AB19" i="104"/>
  <c r="N74" i="104"/>
  <c r="P48" i="104"/>
  <c r="P74" i="104" s="1"/>
  <c r="O48" i="104"/>
  <c r="O74" i="104" s="1"/>
  <c r="AB16" i="104"/>
  <c r="P51" i="104"/>
  <c r="P77" i="104" s="1"/>
  <c r="O51" i="104"/>
  <c r="O77" i="104" s="1"/>
  <c r="N77" i="104"/>
  <c r="O50" i="104"/>
  <c r="O76" i="104" s="1"/>
  <c r="P50" i="104"/>
  <c r="P76" i="104" s="1"/>
  <c r="N76" i="104"/>
  <c r="M59" i="104"/>
  <c r="O46" i="104"/>
  <c r="O72" i="104" s="1"/>
  <c r="P46" i="104"/>
  <c r="P72" i="104" s="1"/>
  <c r="N72" i="104"/>
  <c r="J59" i="104"/>
  <c r="J68" i="104"/>
  <c r="J85" i="104" s="1"/>
  <c r="O57" i="104"/>
  <c r="O83" i="104" s="1"/>
  <c r="P57" i="104"/>
  <c r="P83" i="104" s="1"/>
  <c r="N83" i="104"/>
  <c r="AB30" i="104"/>
  <c r="O55" i="104"/>
  <c r="O81" i="104" s="1"/>
  <c r="P55" i="104"/>
  <c r="P81" i="104" s="1"/>
  <c r="N81" i="104"/>
  <c r="AB15" i="104"/>
  <c r="AB24" i="104"/>
  <c r="I85" i="104"/>
  <c r="O43" i="104"/>
  <c r="O69" i="104" s="1"/>
  <c r="P43" i="104"/>
  <c r="P69" i="104" s="1"/>
  <c r="N69" i="104"/>
  <c r="P44" i="104"/>
  <c r="P70" i="104" s="1"/>
  <c r="O44" i="104"/>
  <c r="O70" i="104" s="1"/>
  <c r="N70" i="104"/>
  <c r="AB27" i="104"/>
  <c r="O56" i="104"/>
  <c r="O82" i="104" s="1"/>
  <c r="P56" i="104"/>
  <c r="P82" i="104" s="1"/>
  <c r="N82" i="104"/>
  <c r="AB25" i="104"/>
  <c r="AB29" i="104"/>
  <c r="O58" i="104"/>
  <c r="O84" i="104" s="1"/>
  <c r="P58" i="104"/>
  <c r="P84" i="104" s="1"/>
  <c r="N84" i="104"/>
  <c r="AB17" i="104"/>
  <c r="R52" i="104" l="1"/>
  <c r="S52" i="104" s="1"/>
  <c r="S78" i="104" s="1"/>
  <c r="R71" i="104"/>
  <c r="R75" i="104"/>
  <c r="R79" i="104"/>
  <c r="R53" i="104"/>
  <c r="S53" i="104" s="1"/>
  <c r="S79" i="104" s="1"/>
  <c r="R45" i="104"/>
  <c r="S45" i="104" s="1"/>
  <c r="T45" i="104" s="1"/>
  <c r="T71" i="104" s="1"/>
  <c r="R80" i="104"/>
  <c r="R54" i="104"/>
  <c r="S54" i="104" s="1"/>
  <c r="S80" i="104" s="1"/>
  <c r="R50" i="104"/>
  <c r="S50" i="104" s="1"/>
  <c r="T50" i="104" s="1"/>
  <c r="T76" i="104" s="1"/>
  <c r="R55" i="104"/>
  <c r="S55" i="104" s="1"/>
  <c r="U55" i="104" s="1"/>
  <c r="U81" i="104" s="1"/>
  <c r="R81" i="104"/>
  <c r="R69" i="104"/>
  <c r="R83" i="104"/>
  <c r="R57" i="104"/>
  <c r="S57" i="104" s="1"/>
  <c r="S83" i="104" s="1"/>
  <c r="R72" i="104"/>
  <c r="R46" i="104"/>
  <c r="S46" i="104" s="1"/>
  <c r="S72" i="104" s="1"/>
  <c r="R77" i="104"/>
  <c r="R44" i="104"/>
  <c r="S44" i="104" s="1"/>
  <c r="T44" i="104" s="1"/>
  <c r="M68" i="104"/>
  <c r="M85" i="104" s="1"/>
  <c r="R76" i="104"/>
  <c r="N85" i="104"/>
  <c r="R70" i="104"/>
  <c r="R43" i="104"/>
  <c r="S43" i="104" s="1"/>
  <c r="R51" i="104"/>
  <c r="S51" i="104" s="1"/>
  <c r="R74" i="104"/>
  <c r="R49" i="104"/>
  <c r="S49" i="104" s="1"/>
  <c r="S14" i="104"/>
  <c r="R31" i="104"/>
  <c r="R73" i="104"/>
  <c r="R84" i="104"/>
  <c r="R82" i="104"/>
  <c r="R48" i="104"/>
  <c r="S48" i="104" s="1"/>
  <c r="R47" i="104"/>
  <c r="S47" i="104" s="1"/>
  <c r="R58" i="104"/>
  <c r="S58" i="104" s="1"/>
  <c r="R56" i="104"/>
  <c r="S56" i="104" s="1"/>
  <c r="N59" i="104"/>
  <c r="P42" i="104"/>
  <c r="O42" i="104"/>
  <c r="U53" i="104" l="1"/>
  <c r="U79" i="104" s="1"/>
  <c r="U52" i="104"/>
  <c r="U78" i="104" s="1"/>
  <c r="T52" i="104"/>
  <c r="T78" i="104" s="1"/>
  <c r="U45" i="104"/>
  <c r="U71" i="104" s="1"/>
  <c r="T53" i="104"/>
  <c r="T79" i="104" s="1"/>
  <c r="S71" i="104"/>
  <c r="T54" i="104"/>
  <c r="T80" i="104" s="1"/>
  <c r="T57" i="104"/>
  <c r="T83" i="104" s="1"/>
  <c r="U54" i="104"/>
  <c r="U80" i="104" s="1"/>
  <c r="S76" i="104"/>
  <c r="U50" i="104"/>
  <c r="U76" i="104" s="1"/>
  <c r="S81" i="104"/>
  <c r="T55" i="104"/>
  <c r="T81" i="104" s="1"/>
  <c r="U57" i="104"/>
  <c r="U83" i="104" s="1"/>
  <c r="U46" i="104"/>
  <c r="U72" i="104" s="1"/>
  <c r="T46" i="104"/>
  <c r="T72" i="104" s="1"/>
  <c r="S70" i="104"/>
  <c r="U44" i="104"/>
  <c r="U70" i="104" s="1"/>
  <c r="R42" i="104"/>
  <c r="S42" i="104" s="1"/>
  <c r="T70" i="104"/>
  <c r="T49" i="104"/>
  <c r="T75" i="104" s="1"/>
  <c r="U49" i="104"/>
  <c r="U75" i="104" s="1"/>
  <c r="S75" i="104"/>
  <c r="S77" i="104"/>
  <c r="U51" i="104"/>
  <c r="U77" i="104" s="1"/>
  <c r="T51" i="104"/>
  <c r="T77" i="104" s="1"/>
  <c r="T43" i="104"/>
  <c r="T69" i="104" s="1"/>
  <c r="U43" i="104"/>
  <c r="U69" i="104" s="1"/>
  <c r="S69" i="104"/>
  <c r="O59" i="104"/>
  <c r="O68" i="104"/>
  <c r="P59" i="104"/>
  <c r="P68" i="104"/>
  <c r="P85" i="104" s="1"/>
  <c r="W14" i="104"/>
  <c r="S31" i="104"/>
  <c r="U48" i="104"/>
  <c r="U74" i="104" s="1"/>
  <c r="T48" i="104"/>
  <c r="T74" i="104" s="1"/>
  <c r="S74" i="104"/>
  <c r="T47" i="104"/>
  <c r="T73" i="104" s="1"/>
  <c r="U47" i="104"/>
  <c r="U73" i="104" s="1"/>
  <c r="S73" i="104"/>
  <c r="U56" i="104"/>
  <c r="U82" i="104" s="1"/>
  <c r="T56" i="104"/>
  <c r="T82" i="104" s="1"/>
  <c r="S82" i="104"/>
  <c r="U58" i="104"/>
  <c r="U84" i="104" s="1"/>
  <c r="T58" i="104"/>
  <c r="T84" i="104" s="1"/>
  <c r="S84" i="104"/>
  <c r="W79" i="104" l="1"/>
  <c r="W78" i="104"/>
  <c r="W52" i="104"/>
  <c r="X52" i="104" s="1"/>
  <c r="X78" i="104" s="1"/>
  <c r="W57" i="104"/>
  <c r="X57" i="104" s="1"/>
  <c r="Z57" i="104" s="1"/>
  <c r="Z83" i="104" s="1"/>
  <c r="W53" i="104"/>
  <c r="X53" i="104" s="1"/>
  <c r="Y53" i="104" s="1"/>
  <c r="Y79" i="104" s="1"/>
  <c r="W71" i="104"/>
  <c r="W45" i="104"/>
  <c r="X45" i="104" s="1"/>
  <c r="W55" i="104"/>
  <c r="X55" i="104" s="1"/>
  <c r="Z55" i="104" s="1"/>
  <c r="Z81" i="104" s="1"/>
  <c r="W76" i="104"/>
  <c r="W83" i="104"/>
  <c r="W80" i="104"/>
  <c r="W50" i="104"/>
  <c r="X50" i="104" s="1"/>
  <c r="Y50" i="104" s="1"/>
  <c r="Y76" i="104" s="1"/>
  <c r="W54" i="104"/>
  <c r="X54" i="104" s="1"/>
  <c r="Z54" i="104" s="1"/>
  <c r="Z80" i="104" s="1"/>
  <c r="W81" i="104"/>
  <c r="W72" i="104"/>
  <c r="W46" i="104"/>
  <c r="X46" i="104" s="1"/>
  <c r="Z46" i="104" s="1"/>
  <c r="Z72" i="104" s="1"/>
  <c r="W70" i="104"/>
  <c r="W47" i="104"/>
  <c r="X47" i="104" s="1"/>
  <c r="Y47" i="104" s="1"/>
  <c r="Y73" i="104" s="1"/>
  <c r="W48" i="104"/>
  <c r="X48" i="104" s="1"/>
  <c r="Z48" i="104" s="1"/>
  <c r="Z74" i="104" s="1"/>
  <c r="W44" i="104"/>
  <c r="X44" i="104" s="1"/>
  <c r="Z44" i="104" s="1"/>
  <c r="Z70" i="104" s="1"/>
  <c r="W73" i="104"/>
  <c r="W74" i="104"/>
  <c r="W82" i="104"/>
  <c r="R59" i="104"/>
  <c r="W75" i="104"/>
  <c r="W49" i="104"/>
  <c r="X49" i="104" s="1"/>
  <c r="Y49" i="104" s="1"/>
  <c r="Y75" i="104" s="1"/>
  <c r="W56" i="104"/>
  <c r="X56" i="104" s="1"/>
  <c r="Z56" i="104" s="1"/>
  <c r="Z82" i="104" s="1"/>
  <c r="W69" i="104"/>
  <c r="W43" i="104"/>
  <c r="X43" i="104" s="1"/>
  <c r="Y43" i="104" s="1"/>
  <c r="Y69" i="104" s="1"/>
  <c r="W51" i="104"/>
  <c r="X51" i="104" s="1"/>
  <c r="Z51" i="104" s="1"/>
  <c r="Z77" i="104" s="1"/>
  <c r="S68" i="104"/>
  <c r="S59" i="104"/>
  <c r="U42" i="104"/>
  <c r="T42" i="104"/>
  <c r="W31" i="104"/>
  <c r="X14" i="104"/>
  <c r="W77" i="104"/>
  <c r="W84" i="104"/>
  <c r="W58" i="104"/>
  <c r="X58" i="104" s="1"/>
  <c r="O85" i="104"/>
  <c r="R68" i="104"/>
  <c r="R85" i="104" s="1"/>
  <c r="Y52" i="104" l="1"/>
  <c r="Y78" i="104" s="1"/>
  <c r="Z52" i="104"/>
  <c r="Z78" i="104" s="1"/>
  <c r="X83" i="104"/>
  <c r="Y57" i="104"/>
  <c r="Y83" i="104" s="1"/>
  <c r="AB83" i="104" s="1"/>
  <c r="X79" i="104"/>
  <c r="X81" i="104"/>
  <c r="Z53" i="104"/>
  <c r="Z79" i="104" s="1"/>
  <c r="Y55" i="104"/>
  <c r="Y81" i="104" s="1"/>
  <c r="AB81" i="104" s="1"/>
  <c r="Z45" i="104"/>
  <c r="Z71" i="104" s="1"/>
  <c r="Y45" i="104"/>
  <c r="Y71" i="104" s="1"/>
  <c r="X71" i="104"/>
  <c r="X76" i="104"/>
  <c r="Z50" i="104"/>
  <c r="Z76" i="104" s="1"/>
  <c r="Y54" i="104"/>
  <c r="Y80" i="104" s="1"/>
  <c r="AB78" i="104"/>
  <c r="X80" i="104"/>
  <c r="X73" i="104"/>
  <c r="Z47" i="104"/>
  <c r="Z73" i="104" s="1"/>
  <c r="X72" i="104"/>
  <c r="Y46" i="104"/>
  <c r="Y72" i="104" s="1"/>
  <c r="X74" i="104"/>
  <c r="W42" i="104"/>
  <c r="W59" i="104" s="1"/>
  <c r="Y48" i="104"/>
  <c r="Y74" i="104" s="1"/>
  <c r="Y44" i="104"/>
  <c r="Y70" i="104" s="1"/>
  <c r="X77" i="104"/>
  <c r="X70" i="104"/>
  <c r="X75" i="104"/>
  <c r="Y51" i="104"/>
  <c r="Y77" i="104" s="1"/>
  <c r="Z49" i="104"/>
  <c r="Z75" i="104" s="1"/>
  <c r="Z43" i="104"/>
  <c r="Z69" i="104" s="1"/>
  <c r="X82" i="104"/>
  <c r="Y56" i="104"/>
  <c r="Y82" i="104" s="1"/>
  <c r="X69" i="104"/>
  <c r="X31" i="104"/>
  <c r="AB14" i="104"/>
  <c r="AB31" i="104" s="1"/>
  <c r="T59" i="104"/>
  <c r="T68" i="104"/>
  <c r="T85" i="104" s="1"/>
  <c r="Y58" i="104"/>
  <c r="Y84" i="104" s="1"/>
  <c r="Z58" i="104"/>
  <c r="Z84" i="104" s="1"/>
  <c r="X84" i="104"/>
  <c r="U59" i="104"/>
  <c r="U68" i="104"/>
  <c r="U85" i="104" s="1"/>
  <c r="S85" i="104"/>
  <c r="AB79" i="104" l="1"/>
  <c r="AB76" i="104"/>
  <c r="X42" i="104"/>
  <c r="Y42" i="104" s="1"/>
  <c r="Y68" i="104" s="1"/>
  <c r="Y85" i="104" s="1"/>
  <c r="AB80" i="104"/>
  <c r="AB71" i="104"/>
  <c r="AB73" i="104"/>
  <c r="AB72" i="104"/>
  <c r="AB77" i="104"/>
  <c r="AB74" i="104"/>
  <c r="AB70" i="104"/>
  <c r="AB82" i="104"/>
  <c r="AB75" i="104"/>
  <c r="AB69" i="104"/>
  <c r="W68" i="104"/>
  <c r="W85" i="104" s="1"/>
  <c r="AB84" i="104"/>
  <c r="Z42" i="104" l="1"/>
  <c r="Z68" i="104" s="1"/>
  <c r="Z85" i="104" s="1"/>
  <c r="X59" i="104"/>
  <c r="X68" i="104"/>
  <c r="X85" i="104" s="1"/>
  <c r="AB68" i="104" l="1"/>
  <c r="AB85" i="104" s="1"/>
  <c r="D14" i="66"/>
  <c r="E14" i="66"/>
  <c r="F14" i="66"/>
  <c r="E16" i="66" l="1"/>
  <c r="D16" i="66"/>
  <c r="F16" i="66"/>
  <c r="F37" i="55" l="1"/>
  <c r="E37" i="55"/>
  <c r="P30" i="118" l="1"/>
  <c r="P29" i="118"/>
  <c r="P28" i="118"/>
  <c r="P27" i="118"/>
  <c r="P26" i="118"/>
  <c r="P25" i="118"/>
  <c r="P22" i="118"/>
  <c r="P21" i="118"/>
  <c r="P20" i="118"/>
  <c r="P18" i="118"/>
  <c r="P16" i="118"/>
  <c r="P15" i="118" l="1"/>
  <c r="P23" i="118"/>
  <c r="P14" i="118"/>
  <c r="P31" i="70"/>
  <c r="P24" i="118"/>
  <c r="P17" i="118"/>
  <c r="P19" i="118"/>
  <c r="P31" i="118" l="1"/>
  <c r="O28" i="118" l="1"/>
  <c r="O24" i="118"/>
  <c r="O18" i="118"/>
  <c r="O22" i="118"/>
  <c r="O27" i="118"/>
  <c r="O17" i="118" l="1"/>
  <c r="O31" i="70"/>
  <c r="O14" i="118"/>
  <c r="O20" i="118"/>
  <c r="O26" i="118"/>
  <c r="O25" i="118"/>
  <c r="O21" i="118"/>
  <c r="O15" i="118"/>
  <c r="O29" i="118"/>
  <c r="O19" i="118"/>
  <c r="O30" i="118"/>
  <c r="O23" i="118"/>
  <c r="O16" i="118"/>
  <c r="O31" i="118" l="1"/>
  <c r="L14" i="93" l="1"/>
  <c r="K14" i="93"/>
  <c r="M12" i="93" l="1"/>
  <c r="N12" i="93" s="1"/>
  <c r="N14" i="93" s="1"/>
  <c r="M14" i="93" l="1"/>
  <c r="M15" i="93" s="1"/>
  <c r="K12" i="55" l="1"/>
  <c r="L12" i="55" s="1"/>
  <c r="K17" i="54"/>
  <c r="L17" i="54" s="1"/>
  <c r="F24" i="59" l="1"/>
  <c r="Q34" i="91" l="1"/>
  <c r="Q37" i="91"/>
  <c r="I253" i="54" l="1"/>
  <c r="I252" i="54"/>
  <c r="I251" i="54"/>
  <c r="I243" i="54"/>
  <c r="I242" i="54"/>
  <c r="I241" i="54"/>
  <c r="I233" i="54"/>
  <c r="I232" i="54"/>
  <c r="I231" i="54"/>
  <c r="I223" i="54"/>
  <c r="I222" i="54"/>
  <c r="I221" i="54"/>
  <c r="I213" i="54"/>
  <c r="I212" i="54"/>
  <c r="I211" i="54"/>
  <c r="I203" i="54"/>
  <c r="I202" i="54"/>
  <c r="I201" i="54"/>
  <c r="I193" i="54"/>
  <c r="I192" i="54"/>
  <c r="I191" i="54"/>
  <c r="I183" i="54"/>
  <c r="I182" i="54"/>
  <c r="I181" i="54"/>
  <c r="I173" i="54"/>
  <c r="I172" i="54"/>
  <c r="I171" i="54"/>
  <c r="I163" i="54"/>
  <c r="I162" i="54"/>
  <c r="I161" i="54"/>
  <c r="I153" i="54"/>
  <c r="I152" i="54"/>
  <c r="I151" i="54"/>
  <c r="I106" i="54"/>
  <c r="I105" i="54"/>
  <c r="I104" i="54"/>
  <c r="I96" i="54"/>
  <c r="I95" i="54"/>
  <c r="I94" i="54"/>
  <c r="I86" i="54"/>
  <c r="I85" i="54"/>
  <c r="I84" i="54"/>
  <c r="I76" i="54"/>
  <c r="I75" i="54"/>
  <c r="I74" i="54"/>
  <c r="I66" i="54"/>
  <c r="I65" i="54"/>
  <c r="I64" i="54"/>
  <c r="I56" i="54"/>
  <c r="I55" i="54"/>
  <c r="I54" i="54"/>
  <c r="I46" i="54"/>
  <c r="I45" i="54"/>
  <c r="I44" i="54"/>
  <c r="H137" i="60"/>
  <c r="J137" i="60" s="1"/>
  <c r="H136" i="60"/>
  <c r="J136" i="60" s="1"/>
  <c r="H135" i="60"/>
  <c r="J135" i="60" s="1"/>
  <c r="H134" i="60"/>
  <c r="J134" i="60" s="1"/>
  <c r="H133" i="60"/>
  <c r="J133" i="60" s="1"/>
  <c r="H132" i="60"/>
  <c r="J132" i="60" s="1"/>
  <c r="H131" i="60"/>
  <c r="J131" i="60" s="1"/>
  <c r="H130" i="60"/>
  <c r="J130" i="60" s="1"/>
  <c r="H129" i="60"/>
  <c r="J129" i="60" s="1"/>
  <c r="H124" i="60"/>
  <c r="J124" i="60" s="1"/>
  <c r="H123" i="60"/>
  <c r="J123" i="60" s="1"/>
  <c r="H122" i="60"/>
  <c r="J122" i="60" s="1"/>
  <c r="H121" i="60"/>
  <c r="J121" i="60" s="1"/>
  <c r="H120" i="60"/>
  <c r="J120" i="60" s="1"/>
  <c r="H119" i="60"/>
  <c r="J119" i="60" s="1"/>
  <c r="H118" i="60"/>
  <c r="J118" i="60" s="1"/>
  <c r="H117" i="60"/>
  <c r="J117" i="60" s="1"/>
  <c r="H116" i="60"/>
  <c r="J116" i="60" s="1"/>
  <c r="H93" i="60"/>
  <c r="J93" i="60" s="1"/>
  <c r="H92" i="60"/>
  <c r="J92" i="60" s="1"/>
  <c r="H91" i="60"/>
  <c r="J91" i="60" s="1"/>
  <c r="H90" i="60"/>
  <c r="J90" i="60" s="1"/>
  <c r="H89" i="60"/>
  <c r="J89" i="60" s="1"/>
  <c r="H88" i="60"/>
  <c r="J88" i="60" s="1"/>
  <c r="H87" i="60"/>
  <c r="J87" i="60" s="1"/>
  <c r="H86" i="60"/>
  <c r="J86" i="60" s="1"/>
  <c r="H109" i="60"/>
  <c r="J109" i="60" s="1"/>
  <c r="H108" i="60"/>
  <c r="J108" i="60" s="1"/>
  <c r="H107" i="60"/>
  <c r="J107" i="60" s="1"/>
  <c r="H106" i="60"/>
  <c r="J106" i="60" s="1"/>
  <c r="H105" i="60"/>
  <c r="J105" i="60" s="1"/>
  <c r="H104" i="60"/>
  <c r="J104" i="60" s="1"/>
  <c r="H103" i="60"/>
  <c r="J103" i="60" s="1"/>
  <c r="H102" i="60"/>
  <c r="J102" i="60" s="1"/>
  <c r="H101" i="60"/>
  <c r="J101" i="60" s="1"/>
  <c r="H53" i="60"/>
  <c r="J53" i="60" s="1"/>
  <c r="H52" i="60"/>
  <c r="J52" i="60" s="1"/>
  <c r="H51" i="60"/>
  <c r="J51" i="60" s="1"/>
  <c r="H50" i="60"/>
  <c r="J50" i="60" s="1"/>
  <c r="H49" i="60"/>
  <c r="J49" i="60" s="1"/>
  <c r="H48" i="60"/>
  <c r="J48" i="60" s="1"/>
  <c r="H47" i="60"/>
  <c r="J47" i="60" s="1"/>
  <c r="H46" i="60"/>
  <c r="J46" i="60" s="1"/>
  <c r="H45" i="60"/>
  <c r="J45" i="60" s="1"/>
  <c r="H44" i="60"/>
  <c r="J44" i="60" s="1"/>
  <c r="H39" i="60"/>
  <c r="J39" i="60" s="1"/>
  <c r="H38" i="60"/>
  <c r="J38" i="60" s="1"/>
  <c r="H37" i="60"/>
  <c r="J37" i="60" s="1"/>
  <c r="H36" i="60"/>
  <c r="J36" i="60" s="1"/>
  <c r="H35" i="60"/>
  <c r="J35" i="60" s="1"/>
  <c r="H34" i="60"/>
  <c r="J34" i="60" s="1"/>
  <c r="H33" i="60"/>
  <c r="J33" i="60" s="1"/>
  <c r="H32" i="60"/>
  <c r="J32" i="60" s="1"/>
  <c r="H31" i="60"/>
  <c r="J31" i="60" s="1"/>
  <c r="H30" i="60"/>
  <c r="J30" i="60" s="1"/>
  <c r="H22" i="60"/>
  <c r="J22" i="60" s="1"/>
  <c r="H21" i="60"/>
  <c r="J21" i="60" s="1"/>
  <c r="H20" i="60"/>
  <c r="J20" i="60" s="1"/>
  <c r="H19" i="60"/>
  <c r="J19" i="60" s="1"/>
  <c r="H18" i="60"/>
  <c r="J18" i="60" s="1"/>
  <c r="H17" i="60"/>
  <c r="J17" i="60" s="1"/>
  <c r="H16" i="60"/>
  <c r="J16" i="60" s="1"/>
  <c r="H15" i="60"/>
  <c r="J15" i="60" s="1"/>
  <c r="H14" i="60"/>
  <c r="J14" i="60" s="1"/>
  <c r="H13" i="60"/>
  <c r="J13" i="60" s="1"/>
  <c r="H12" i="60"/>
  <c r="J12" i="60" s="1"/>
  <c r="J66" i="59"/>
  <c r="L66" i="59" s="1"/>
  <c r="J65" i="59"/>
  <c r="L65" i="59" s="1"/>
  <c r="J64" i="59"/>
  <c r="L64" i="59" s="1"/>
  <c r="J63" i="59"/>
  <c r="L63" i="59" s="1"/>
  <c r="J59" i="59"/>
  <c r="L59" i="59" s="1"/>
  <c r="J49" i="59"/>
  <c r="L49" i="59" s="1"/>
  <c r="J24" i="59"/>
  <c r="F253" i="54"/>
  <c r="F252" i="54"/>
  <c r="F251" i="54"/>
  <c r="F243" i="54"/>
  <c r="F242" i="54"/>
  <c r="F241" i="54"/>
  <c r="F233" i="54"/>
  <c r="F232" i="54"/>
  <c r="F231" i="54"/>
  <c r="F223" i="54"/>
  <c r="F222" i="54"/>
  <c r="F221" i="54"/>
  <c r="F213" i="54"/>
  <c r="F212" i="54"/>
  <c r="F211" i="54"/>
  <c r="F203" i="54"/>
  <c r="F202" i="54"/>
  <c r="F201" i="54"/>
  <c r="F193" i="54"/>
  <c r="F192" i="54"/>
  <c r="F191" i="54"/>
  <c r="F183" i="54"/>
  <c r="F182" i="54"/>
  <c r="F181" i="54"/>
  <c r="F173" i="54"/>
  <c r="F172" i="54"/>
  <c r="F171" i="54"/>
  <c r="F163" i="54"/>
  <c r="F162" i="54"/>
  <c r="F161" i="54"/>
  <c r="F153" i="54"/>
  <c r="F152" i="54"/>
  <c r="F151" i="54"/>
  <c r="F106" i="54"/>
  <c r="F105" i="54"/>
  <c r="F104" i="54"/>
  <c r="F96" i="54"/>
  <c r="F95" i="54"/>
  <c r="F94" i="54"/>
  <c r="F86" i="54"/>
  <c r="F85" i="54"/>
  <c r="F84" i="54"/>
  <c r="F76" i="54"/>
  <c r="F75" i="54"/>
  <c r="F74" i="54"/>
  <c r="F66" i="54"/>
  <c r="F65" i="54"/>
  <c r="F64" i="54"/>
  <c r="F56" i="54"/>
  <c r="F55" i="54"/>
  <c r="F54" i="54"/>
  <c r="F46" i="54"/>
  <c r="F45" i="54"/>
  <c r="F44" i="54"/>
  <c r="E137" i="60"/>
  <c r="G137" i="60" s="1"/>
  <c r="E136" i="60"/>
  <c r="G136" i="60" s="1"/>
  <c r="E135" i="60"/>
  <c r="G135" i="60" s="1"/>
  <c r="E134" i="60"/>
  <c r="G134" i="60" s="1"/>
  <c r="E133" i="60"/>
  <c r="G133" i="60" s="1"/>
  <c r="E132" i="60"/>
  <c r="G132" i="60" s="1"/>
  <c r="E131" i="60"/>
  <c r="G131" i="60" s="1"/>
  <c r="E130" i="60"/>
  <c r="G130" i="60" s="1"/>
  <c r="E129" i="60"/>
  <c r="G129" i="60" s="1"/>
  <c r="E124" i="60"/>
  <c r="G124" i="60" s="1"/>
  <c r="E123" i="60"/>
  <c r="G123" i="60" s="1"/>
  <c r="E122" i="60"/>
  <c r="G122" i="60" s="1"/>
  <c r="E121" i="60"/>
  <c r="G121" i="60" s="1"/>
  <c r="E120" i="60"/>
  <c r="G120" i="60" s="1"/>
  <c r="E119" i="60"/>
  <c r="G119" i="60" s="1"/>
  <c r="E118" i="60"/>
  <c r="G118" i="60" s="1"/>
  <c r="E117" i="60"/>
  <c r="G117" i="60" s="1"/>
  <c r="E116" i="60"/>
  <c r="G116" i="60" s="1"/>
  <c r="E94" i="60"/>
  <c r="G94" i="60" s="1"/>
  <c r="E93" i="60"/>
  <c r="G93" i="60" s="1"/>
  <c r="E92" i="60"/>
  <c r="G92" i="60" s="1"/>
  <c r="E91" i="60"/>
  <c r="G91" i="60" s="1"/>
  <c r="E90" i="60"/>
  <c r="G90" i="60" s="1"/>
  <c r="E89" i="60"/>
  <c r="G89" i="60" s="1"/>
  <c r="E88" i="60"/>
  <c r="G88" i="60" s="1"/>
  <c r="E87" i="60"/>
  <c r="G87" i="60" s="1"/>
  <c r="E86" i="60"/>
  <c r="G86" i="60" s="1"/>
  <c r="E109" i="60"/>
  <c r="G109" i="60" s="1"/>
  <c r="E108" i="60"/>
  <c r="G108" i="60" s="1"/>
  <c r="E107" i="60"/>
  <c r="G107" i="60" s="1"/>
  <c r="E106" i="60"/>
  <c r="G106" i="60" s="1"/>
  <c r="E105" i="60"/>
  <c r="G105" i="60" s="1"/>
  <c r="E104" i="60"/>
  <c r="G104" i="60" s="1"/>
  <c r="E103" i="60"/>
  <c r="G103" i="60" s="1"/>
  <c r="E102" i="60"/>
  <c r="G102" i="60" s="1"/>
  <c r="E101" i="60"/>
  <c r="G101" i="60" s="1"/>
  <c r="E53" i="60"/>
  <c r="E52" i="60"/>
  <c r="G52" i="60" s="1"/>
  <c r="E51" i="60"/>
  <c r="G51" i="60" s="1"/>
  <c r="E50" i="60"/>
  <c r="G50" i="60" s="1"/>
  <c r="E49" i="60"/>
  <c r="G49" i="60" s="1"/>
  <c r="E48" i="60"/>
  <c r="G48" i="60" s="1"/>
  <c r="E47" i="60"/>
  <c r="G47" i="60" s="1"/>
  <c r="E46" i="60"/>
  <c r="G46" i="60" s="1"/>
  <c r="E45" i="60"/>
  <c r="G45" i="60" s="1"/>
  <c r="E44" i="60"/>
  <c r="G44" i="60" s="1"/>
  <c r="E39" i="60"/>
  <c r="G39" i="60" s="1"/>
  <c r="E38" i="60"/>
  <c r="G38" i="60" s="1"/>
  <c r="E37" i="60"/>
  <c r="G37" i="60" s="1"/>
  <c r="E36" i="60"/>
  <c r="G36" i="60" s="1"/>
  <c r="E35" i="60"/>
  <c r="G35" i="60" s="1"/>
  <c r="E34" i="60"/>
  <c r="G34" i="60" s="1"/>
  <c r="E33" i="60"/>
  <c r="G33" i="60" s="1"/>
  <c r="E32" i="60"/>
  <c r="G32" i="60" s="1"/>
  <c r="E31" i="60"/>
  <c r="G31" i="60" s="1"/>
  <c r="E30" i="60"/>
  <c r="G30" i="60" s="1"/>
  <c r="E22" i="60"/>
  <c r="G22" i="60" s="1"/>
  <c r="E21" i="60"/>
  <c r="G21" i="60" s="1"/>
  <c r="E20" i="60"/>
  <c r="G20" i="60" s="1"/>
  <c r="E19" i="60"/>
  <c r="G19" i="60" s="1"/>
  <c r="E18" i="60"/>
  <c r="G18" i="60" s="1"/>
  <c r="E17" i="60"/>
  <c r="G17" i="60" s="1"/>
  <c r="E16" i="60"/>
  <c r="G16" i="60" s="1"/>
  <c r="E15" i="60"/>
  <c r="G15" i="60" s="1"/>
  <c r="E14" i="60"/>
  <c r="G14" i="60" s="1"/>
  <c r="E13" i="60"/>
  <c r="G13" i="60" s="1"/>
  <c r="E12" i="60"/>
  <c r="G12" i="60" s="1"/>
  <c r="F66" i="59"/>
  <c r="H66" i="59" s="1"/>
  <c r="F65" i="59"/>
  <c r="H65" i="59" s="1"/>
  <c r="F64" i="59"/>
  <c r="H64" i="59" s="1"/>
  <c r="F63" i="59"/>
  <c r="H63" i="59" s="1"/>
  <c r="F59" i="59"/>
  <c r="H59" i="59" s="1"/>
  <c r="F49" i="59"/>
  <c r="H49" i="59" s="1"/>
  <c r="N9" i="71"/>
  <c r="N11" i="71" s="1"/>
  <c r="M9" i="71"/>
  <c r="M11" i="71" s="1"/>
  <c r="L9" i="71"/>
  <c r="L11" i="71" s="1"/>
  <c r="K9" i="71"/>
  <c r="K11" i="71" s="1"/>
  <c r="J9" i="71"/>
  <c r="J11" i="71" s="1"/>
  <c r="I9" i="71"/>
  <c r="I11" i="71" s="1"/>
  <c r="H9" i="71"/>
  <c r="H11" i="71" s="1"/>
  <c r="G9" i="71"/>
  <c r="G11" i="71" s="1"/>
  <c r="F9" i="71"/>
  <c r="F11" i="71" s="1"/>
  <c r="E9" i="71"/>
  <c r="E11" i="71" s="1"/>
  <c r="D9" i="71"/>
  <c r="D11" i="71" s="1"/>
  <c r="P28" i="91"/>
  <c r="O28" i="91"/>
  <c r="N28" i="91"/>
  <c r="M28" i="91"/>
  <c r="L28" i="91"/>
  <c r="K28" i="91"/>
  <c r="J28" i="91"/>
  <c r="I28" i="91"/>
  <c r="H28" i="91"/>
  <c r="G28" i="91"/>
  <c r="F28" i="91"/>
  <c r="M20" i="91"/>
  <c r="P18" i="91"/>
  <c r="O18" i="91"/>
  <c r="N18" i="91"/>
  <c r="M18" i="91"/>
  <c r="L18" i="91"/>
  <c r="K18" i="91"/>
  <c r="J18" i="91"/>
  <c r="I18" i="91"/>
  <c r="H18" i="91"/>
  <c r="F18" i="91"/>
  <c r="N26" i="91" l="1"/>
  <c r="N29" i="91" s="1"/>
  <c r="N30" i="91" s="1"/>
  <c r="N20" i="91"/>
  <c r="F20" i="91"/>
  <c r="H20" i="91"/>
  <c r="P20" i="91"/>
  <c r="O20" i="91"/>
  <c r="P26" i="91"/>
  <c r="P29" i="91" s="1"/>
  <c r="P30" i="91" s="1"/>
  <c r="H26" i="91"/>
  <c r="H29" i="91" s="1"/>
  <c r="H30" i="91" s="1"/>
  <c r="M26" i="91"/>
  <c r="M29" i="91" s="1"/>
  <c r="M30" i="91" s="1"/>
  <c r="J26" i="91"/>
  <c r="J29" i="91" s="1"/>
  <c r="J30" i="91" s="1"/>
  <c r="J20" i="91"/>
  <c r="G26" i="91"/>
  <c r="G29" i="91" s="1"/>
  <c r="G30" i="91" s="1"/>
  <c r="O26" i="91"/>
  <c r="O29" i="91" s="1"/>
  <c r="O30" i="91" s="1"/>
  <c r="G20" i="91"/>
  <c r="G18" i="91"/>
  <c r="F26" i="91"/>
  <c r="F29" i="91" s="1"/>
  <c r="F30" i="91" s="1"/>
  <c r="E26" i="75"/>
  <c r="G26" i="58" s="1"/>
  <c r="Q14" i="91"/>
  <c r="I26" i="91"/>
  <c r="I29" i="91" s="1"/>
  <c r="I30" i="91" s="1"/>
  <c r="I20" i="91"/>
  <c r="K26" i="91"/>
  <c r="K29" i="91" s="1"/>
  <c r="K30" i="91" s="1"/>
  <c r="K20" i="91"/>
  <c r="L26" i="91"/>
  <c r="L29" i="91" s="1"/>
  <c r="L30" i="91" s="1"/>
  <c r="L20" i="91"/>
  <c r="Q15" i="91"/>
  <c r="D36" i="67"/>
  <c r="G11" i="65" s="1"/>
  <c r="I90" i="54"/>
  <c r="H265" i="54"/>
  <c r="I143" i="54"/>
  <c r="I157" i="54"/>
  <c r="I197" i="54"/>
  <c r="I237" i="54"/>
  <c r="J38" i="81"/>
  <c r="J41" i="81" s="1"/>
  <c r="J25" i="59"/>
  <c r="J28" i="59" s="1"/>
  <c r="K34" i="81"/>
  <c r="J37" i="81"/>
  <c r="K41" i="81"/>
  <c r="K29" i="59"/>
  <c r="J48" i="59"/>
  <c r="K11" i="81"/>
  <c r="J11" i="59"/>
  <c r="J11" i="81" s="1"/>
  <c r="K105" i="59"/>
  <c r="K111" i="59"/>
  <c r="H100" i="60"/>
  <c r="H112" i="60" s="1"/>
  <c r="J78" i="59" s="1"/>
  <c r="I112" i="60"/>
  <c r="K78" i="59" s="1"/>
  <c r="I34" i="54"/>
  <c r="H117" i="54"/>
  <c r="I50" i="54"/>
  <c r="H97" i="54"/>
  <c r="I97" i="54" s="1"/>
  <c r="I93" i="54"/>
  <c r="I160" i="54"/>
  <c r="H164" i="54"/>
  <c r="I164" i="54" s="1"/>
  <c r="H204" i="54"/>
  <c r="I204" i="54" s="1"/>
  <c r="I200" i="54"/>
  <c r="H244" i="54"/>
  <c r="I244" i="54" s="1"/>
  <c r="I240" i="54"/>
  <c r="I35" i="54"/>
  <c r="H118" i="54"/>
  <c r="I53" i="54"/>
  <c r="H57" i="54"/>
  <c r="I57" i="54" s="1"/>
  <c r="I80" i="54"/>
  <c r="I147" i="54"/>
  <c r="H269" i="54"/>
  <c r="I187" i="54"/>
  <c r="I227" i="54"/>
  <c r="K104" i="59"/>
  <c r="K110" i="59"/>
  <c r="H115" i="60"/>
  <c r="H125" i="60" s="1"/>
  <c r="J80" i="59" s="1"/>
  <c r="I125" i="60"/>
  <c r="K80" i="59" s="1"/>
  <c r="I33" i="54"/>
  <c r="H116" i="54"/>
  <c r="H37" i="54"/>
  <c r="H38" i="54" s="1"/>
  <c r="H39" i="54" s="1"/>
  <c r="H119" i="54"/>
  <c r="I36" i="54"/>
  <c r="H87" i="54"/>
  <c r="I87" i="54" s="1"/>
  <c r="I83" i="54"/>
  <c r="H154" i="54"/>
  <c r="I154" i="54" s="1"/>
  <c r="I150" i="54"/>
  <c r="I190" i="54"/>
  <c r="H194" i="54"/>
  <c r="I194" i="54" s="1"/>
  <c r="I230" i="54"/>
  <c r="H234" i="54"/>
  <c r="I234" i="54" s="1"/>
  <c r="K70" i="59"/>
  <c r="L20" i="59"/>
  <c r="L57" i="81"/>
  <c r="L42" i="59"/>
  <c r="J50" i="59"/>
  <c r="J60" i="59" s="1"/>
  <c r="L60" i="59" s="1"/>
  <c r="I40" i="54"/>
  <c r="H123" i="54"/>
  <c r="I70" i="54"/>
  <c r="I110" i="54"/>
  <c r="I177" i="54"/>
  <c r="I217" i="54"/>
  <c r="I257" i="54"/>
  <c r="K109" i="59"/>
  <c r="H11" i="60"/>
  <c r="H23" i="60" s="1"/>
  <c r="H26" i="60" s="1"/>
  <c r="J73" i="59" s="1"/>
  <c r="I23" i="60"/>
  <c r="I40" i="60"/>
  <c r="K74" i="59" s="1"/>
  <c r="H29" i="60"/>
  <c r="H40" i="60" s="1"/>
  <c r="J74" i="59" s="1"/>
  <c r="I97" i="60"/>
  <c r="K79" i="59" s="1"/>
  <c r="H85" i="60"/>
  <c r="H97" i="60" s="1"/>
  <c r="J79" i="59" s="1"/>
  <c r="I43" i="54"/>
  <c r="H47" i="54"/>
  <c r="I47" i="54" s="1"/>
  <c r="H77" i="54"/>
  <c r="I77" i="54" s="1"/>
  <c r="I73" i="54"/>
  <c r="I140" i="54"/>
  <c r="H262" i="54"/>
  <c r="H144" i="54"/>
  <c r="I180" i="54"/>
  <c r="H184" i="54"/>
  <c r="I184" i="54" s="1"/>
  <c r="H224" i="54"/>
  <c r="I224" i="54" s="1"/>
  <c r="I220" i="54"/>
  <c r="K85" i="59"/>
  <c r="E36" i="67"/>
  <c r="E44" i="68"/>
  <c r="I60" i="54"/>
  <c r="I100" i="54"/>
  <c r="H263" i="54"/>
  <c r="I141" i="54"/>
  <c r="I167" i="54"/>
  <c r="I207" i="54"/>
  <c r="I247" i="54"/>
  <c r="L44" i="59"/>
  <c r="K61" i="81"/>
  <c r="L61" i="81" s="1"/>
  <c r="I24" i="60"/>
  <c r="J24" i="60" s="1"/>
  <c r="H26" i="75"/>
  <c r="K15" i="81"/>
  <c r="E12" i="59"/>
  <c r="E3" i="100"/>
  <c r="K106" i="59"/>
  <c r="K112" i="59"/>
  <c r="I54" i="60"/>
  <c r="K75" i="59" s="1"/>
  <c r="H43" i="60"/>
  <c r="H54" i="60" s="1"/>
  <c r="J75" i="59" s="1"/>
  <c r="I138" i="60"/>
  <c r="K81" i="59" s="1"/>
  <c r="H128" i="60"/>
  <c r="H138" i="60" s="1"/>
  <c r="J81" i="59" s="1"/>
  <c r="I24" i="54"/>
  <c r="I63" i="54"/>
  <c r="H67" i="54"/>
  <c r="I67" i="54" s="1"/>
  <c r="H107" i="54"/>
  <c r="I107" i="54" s="1"/>
  <c r="I103" i="54"/>
  <c r="H264" i="54"/>
  <c r="I142" i="54"/>
  <c r="I170" i="54"/>
  <c r="H174" i="54"/>
  <c r="I174" i="54" s="1"/>
  <c r="I210" i="54"/>
  <c r="H214" i="54"/>
  <c r="I214" i="54" s="1"/>
  <c r="I250" i="54"/>
  <c r="H254" i="54"/>
  <c r="I254" i="54" s="1"/>
  <c r="F40" i="60"/>
  <c r="G74" i="59" s="1"/>
  <c r="G117" i="59" s="1"/>
  <c r="E29" i="60"/>
  <c r="E40" i="60" s="1"/>
  <c r="F74" i="59" s="1"/>
  <c r="E85" i="60"/>
  <c r="E97" i="60" s="1"/>
  <c r="F79" i="59" s="1"/>
  <c r="F97" i="60"/>
  <c r="G79" i="59" s="1"/>
  <c r="F138" i="60"/>
  <c r="G81" i="59" s="1"/>
  <c r="E128" i="60"/>
  <c r="E138" i="60" s="1"/>
  <c r="F81" i="59" s="1"/>
  <c r="F24" i="54"/>
  <c r="F63" i="54"/>
  <c r="E67" i="54"/>
  <c r="F67" i="54" s="1"/>
  <c r="E107" i="54"/>
  <c r="F107" i="54" s="1"/>
  <c r="F103" i="54"/>
  <c r="E264" i="54"/>
  <c r="F142" i="54"/>
  <c r="F170" i="54"/>
  <c r="E174" i="54"/>
  <c r="F174" i="54" s="1"/>
  <c r="E214" i="54"/>
  <c r="F214" i="54" s="1"/>
  <c r="F210" i="54"/>
  <c r="F250" i="54"/>
  <c r="E254" i="54"/>
  <c r="F254" i="54" s="1"/>
  <c r="F48" i="59"/>
  <c r="G105" i="59"/>
  <c r="G111" i="59"/>
  <c r="F90" i="54"/>
  <c r="E265" i="54"/>
  <c r="F143" i="54"/>
  <c r="F157" i="54"/>
  <c r="F197" i="54"/>
  <c r="F237" i="54"/>
  <c r="Q8" i="91"/>
  <c r="E11" i="60"/>
  <c r="E23" i="60" s="1"/>
  <c r="E26" i="60" s="1"/>
  <c r="F73" i="59" s="1"/>
  <c r="F23" i="60"/>
  <c r="F54" i="60"/>
  <c r="G75" i="59" s="1"/>
  <c r="E43" i="60"/>
  <c r="E54" i="60" s="1"/>
  <c r="F75" i="59" s="1"/>
  <c r="F34" i="54"/>
  <c r="E117" i="54"/>
  <c r="F50" i="54"/>
  <c r="E97" i="54"/>
  <c r="F97" i="54" s="1"/>
  <c r="F93" i="54"/>
  <c r="E164" i="54"/>
  <c r="F164" i="54" s="1"/>
  <c r="F160" i="54"/>
  <c r="F200" i="54"/>
  <c r="E204" i="54"/>
  <c r="F204" i="54" s="1"/>
  <c r="F240" i="54"/>
  <c r="E244" i="54"/>
  <c r="F244" i="54" s="1"/>
  <c r="E26" i="91"/>
  <c r="Q21" i="91"/>
  <c r="C9" i="71"/>
  <c r="Q16" i="91"/>
  <c r="G11" i="72" s="1"/>
  <c r="G13" i="72" s="1"/>
  <c r="G70" i="59"/>
  <c r="G104" i="59"/>
  <c r="G110" i="59"/>
  <c r="F25" i="59"/>
  <c r="F28" i="59" s="1"/>
  <c r="F38" i="81"/>
  <c r="F41" i="81" s="1"/>
  <c r="K46" i="100"/>
  <c r="G34" i="81"/>
  <c r="F37" i="81"/>
  <c r="F35" i="54"/>
  <c r="E118" i="54"/>
  <c r="E57" i="54"/>
  <c r="F57" i="54" s="1"/>
  <c r="F53" i="54"/>
  <c r="F80" i="54"/>
  <c r="F147" i="54"/>
  <c r="E269" i="54"/>
  <c r="F187" i="54"/>
  <c r="F227" i="54"/>
  <c r="G41" i="81"/>
  <c r="G29" i="59"/>
  <c r="H61" i="81"/>
  <c r="G44" i="59"/>
  <c r="F112" i="60"/>
  <c r="G78" i="59" s="1"/>
  <c r="G121" i="59" s="1"/>
  <c r="E100" i="60"/>
  <c r="E112" i="60" s="1"/>
  <c r="F78" i="59" s="1"/>
  <c r="E115" i="60"/>
  <c r="E125" i="60" s="1"/>
  <c r="F80" i="59" s="1"/>
  <c r="F125" i="60"/>
  <c r="G80" i="59" s="1"/>
  <c r="E37" i="54"/>
  <c r="F33" i="54"/>
  <c r="E116" i="54"/>
  <c r="F36" i="54"/>
  <c r="E119" i="54"/>
  <c r="E87" i="54"/>
  <c r="F87" i="54" s="1"/>
  <c r="F83" i="54"/>
  <c r="E154" i="54"/>
  <c r="F154" i="54" s="1"/>
  <c r="F150" i="54"/>
  <c r="F190" i="54"/>
  <c r="E194" i="54"/>
  <c r="F194" i="54" s="1"/>
  <c r="E234" i="54"/>
  <c r="F234" i="54" s="1"/>
  <c r="F230" i="54"/>
  <c r="F50" i="59"/>
  <c r="F60" i="59" s="1"/>
  <c r="H60" i="59" s="1"/>
  <c r="G109" i="59"/>
  <c r="F40" i="54"/>
  <c r="E123" i="54"/>
  <c r="F70" i="54"/>
  <c r="F110" i="54"/>
  <c r="F177" i="54"/>
  <c r="F217" i="54"/>
  <c r="F257" i="54"/>
  <c r="Q11" i="91"/>
  <c r="Q19" i="91"/>
  <c r="J46" i="100"/>
  <c r="G42" i="81"/>
  <c r="G44" i="81"/>
  <c r="F30" i="81"/>
  <c r="G43" i="81"/>
  <c r="H57" i="81"/>
  <c r="G42" i="59"/>
  <c r="H42" i="59" s="1"/>
  <c r="D44" i="68"/>
  <c r="F43" i="54"/>
  <c r="E47" i="54"/>
  <c r="F47" i="54" s="1"/>
  <c r="F73" i="54"/>
  <c r="E77" i="54"/>
  <c r="F77" i="54" s="1"/>
  <c r="E144" i="54"/>
  <c r="E262" i="54"/>
  <c r="F140" i="54"/>
  <c r="F180" i="54"/>
  <c r="E184" i="54"/>
  <c r="F184" i="54" s="1"/>
  <c r="F220" i="54"/>
  <c r="E224" i="54"/>
  <c r="F224" i="54" s="1"/>
  <c r="E18" i="91"/>
  <c r="Q22" i="91"/>
  <c r="Q23" i="91"/>
  <c r="E20" i="91"/>
  <c r="Q24" i="91"/>
  <c r="E28" i="91"/>
  <c r="Q28" i="91" s="1"/>
  <c r="E11" i="72" s="1"/>
  <c r="Q25" i="91"/>
  <c r="G106" i="59"/>
  <c r="G112" i="59"/>
  <c r="F60" i="54"/>
  <c r="F100" i="54"/>
  <c r="E263" i="54"/>
  <c r="F141" i="54"/>
  <c r="F167" i="54"/>
  <c r="F207" i="54"/>
  <c r="F247" i="54"/>
  <c r="H58" i="59" l="1"/>
  <c r="J58" i="59"/>
  <c r="L58" i="59" s="1"/>
  <c r="D38" i="67"/>
  <c r="D40" i="67" s="1"/>
  <c r="J100" i="60"/>
  <c r="J112" i="60" s="1"/>
  <c r="L78" i="59"/>
  <c r="J29" i="60"/>
  <c r="J40" i="60" s="1"/>
  <c r="G43" i="60"/>
  <c r="G54" i="60" s="1"/>
  <c r="H108" i="54"/>
  <c r="I108" i="54" s="1"/>
  <c r="I109" i="54" s="1"/>
  <c r="E155" i="54"/>
  <c r="F155" i="54" s="1"/>
  <c r="F156" i="54" s="1"/>
  <c r="G128" i="60"/>
  <c r="G138" i="60" s="1"/>
  <c r="H215" i="54"/>
  <c r="I215" i="54" s="1"/>
  <c r="I216" i="54" s="1"/>
  <c r="K121" i="59"/>
  <c r="H75" i="59"/>
  <c r="H38" i="81"/>
  <c r="H41" i="81"/>
  <c r="F26" i="75"/>
  <c r="H245" i="54"/>
  <c r="I245" i="54" s="1"/>
  <c r="I246" i="54" s="1"/>
  <c r="M22" i="75"/>
  <c r="M24" i="75"/>
  <c r="J43" i="60"/>
  <c r="J54" i="60" s="1"/>
  <c r="M25" i="75"/>
  <c r="M20" i="75"/>
  <c r="H255" i="54"/>
  <c r="I255" i="54" s="1"/>
  <c r="I256" i="54" s="1"/>
  <c r="H98" i="54"/>
  <c r="J85" i="60"/>
  <c r="J97" i="60" s="1"/>
  <c r="M16" i="75"/>
  <c r="M23" i="75"/>
  <c r="H50" i="59"/>
  <c r="E98" i="54"/>
  <c r="F98" i="54" s="1"/>
  <c r="F99" i="54" s="1"/>
  <c r="L75" i="59"/>
  <c r="G29" i="60"/>
  <c r="G40" i="60" s="1"/>
  <c r="K86" i="59"/>
  <c r="H48" i="54"/>
  <c r="I48" i="54" s="1"/>
  <c r="I49" i="54" s="1"/>
  <c r="L74" i="59"/>
  <c r="E235" i="54"/>
  <c r="F235" i="54" s="1"/>
  <c r="F236" i="54" s="1"/>
  <c r="E245" i="54"/>
  <c r="L81" i="59"/>
  <c r="H165" i="54"/>
  <c r="G100" i="60"/>
  <c r="G112" i="60" s="1"/>
  <c r="H175" i="54"/>
  <c r="I175" i="54" s="1"/>
  <c r="I176" i="54" s="1"/>
  <c r="H68" i="54"/>
  <c r="I68" i="54" s="1"/>
  <c r="I69" i="54" s="1"/>
  <c r="H78" i="59"/>
  <c r="K92" i="59"/>
  <c r="J92" i="59" s="1"/>
  <c r="L92" i="59" s="1"/>
  <c r="J115" i="60"/>
  <c r="J125" i="60" s="1"/>
  <c r="E88" i="54"/>
  <c r="F88" i="54" s="1"/>
  <c r="F89" i="54" s="1"/>
  <c r="H81" i="59"/>
  <c r="J128" i="60"/>
  <c r="J138" i="60" s="1"/>
  <c r="K118" i="59"/>
  <c r="H78" i="54"/>
  <c r="I78" i="54" s="1"/>
  <c r="I79" i="54" s="1"/>
  <c r="L79" i="59"/>
  <c r="L50" i="59"/>
  <c r="H235" i="54"/>
  <c r="I235" i="54" s="1"/>
  <c r="I236" i="54" s="1"/>
  <c r="M15" i="75"/>
  <c r="H185" i="54"/>
  <c r="H88" i="54"/>
  <c r="L26" i="75"/>
  <c r="P26" i="58" s="1"/>
  <c r="K11" i="65"/>
  <c r="E38" i="67"/>
  <c r="E40" i="67" s="1"/>
  <c r="K32" i="59"/>
  <c r="L29" i="59"/>
  <c r="K26" i="75"/>
  <c r="M11" i="75"/>
  <c r="K91" i="59"/>
  <c r="K33" i="59"/>
  <c r="K34" i="59"/>
  <c r="K35" i="59"/>
  <c r="J11" i="60"/>
  <c r="J23" i="60" s="1"/>
  <c r="J26" i="60" s="1"/>
  <c r="H195" i="54"/>
  <c r="K123" i="59"/>
  <c r="L80" i="59"/>
  <c r="K84" i="59"/>
  <c r="H272" i="54"/>
  <c r="H274" i="54" s="1"/>
  <c r="K117" i="59"/>
  <c r="K47" i="100"/>
  <c r="L34" i="81"/>
  <c r="K124" i="59"/>
  <c r="O43" i="81"/>
  <c r="O44" i="81"/>
  <c r="O42" i="81"/>
  <c r="H145" i="54"/>
  <c r="H266" i="54"/>
  <c r="I144" i="54"/>
  <c r="I26" i="60"/>
  <c r="K73" i="59" s="1"/>
  <c r="K113" i="59"/>
  <c r="K40" i="59" s="1"/>
  <c r="E10" i="61"/>
  <c r="F12" i="59"/>
  <c r="K44" i="81"/>
  <c r="K43" i="81"/>
  <c r="J30" i="81"/>
  <c r="J47" i="100"/>
  <c r="K42" i="81"/>
  <c r="I20" i="59"/>
  <c r="J25" i="81"/>
  <c r="H225" i="54"/>
  <c r="H126" i="54"/>
  <c r="H128" i="54" s="1"/>
  <c r="H155" i="54"/>
  <c r="I38" i="54"/>
  <c r="I39" i="54" s="1"/>
  <c r="K122" i="59"/>
  <c r="L48" i="59"/>
  <c r="P57" i="81"/>
  <c r="Q42" i="59"/>
  <c r="K26" i="58"/>
  <c r="I26" i="75"/>
  <c r="E46" i="68"/>
  <c r="K12" i="65"/>
  <c r="K89" i="59"/>
  <c r="I37" i="54"/>
  <c r="H120" i="54"/>
  <c r="K90" i="59"/>
  <c r="H58" i="54"/>
  <c r="H205" i="54"/>
  <c r="L38" i="81"/>
  <c r="L41" i="81" s="1"/>
  <c r="M11" i="72"/>
  <c r="M13" i="72" s="1"/>
  <c r="Q20" i="91"/>
  <c r="F11" i="72" s="1"/>
  <c r="H80" i="59"/>
  <c r="H29" i="59"/>
  <c r="G32" i="59"/>
  <c r="E29" i="91"/>
  <c r="E30" i="91" s="1"/>
  <c r="G123" i="59"/>
  <c r="E255" i="54"/>
  <c r="Q18" i="91"/>
  <c r="D11" i="72" s="1"/>
  <c r="K11" i="72"/>
  <c r="K13" i="72" s="1"/>
  <c r="F44" i="81"/>
  <c r="H44" i="81" s="1"/>
  <c r="F43" i="81"/>
  <c r="H43" i="81" s="1"/>
  <c r="F42" i="81"/>
  <c r="H42" i="81" s="1"/>
  <c r="G23" i="59"/>
  <c r="D46" i="68"/>
  <c r="G12" i="65"/>
  <c r="G113" i="59"/>
  <c r="E22" i="78"/>
  <c r="F26" i="58"/>
  <c r="D22" i="78" s="1"/>
  <c r="G118" i="59"/>
  <c r="E225" i="54"/>
  <c r="E145" i="54"/>
  <c r="E266" i="54"/>
  <c r="F144" i="54"/>
  <c r="G45" i="81"/>
  <c r="E58" i="54"/>
  <c r="E215" i="54"/>
  <c r="E108" i="54"/>
  <c r="H74" i="59"/>
  <c r="E78" i="54"/>
  <c r="H30" i="81"/>
  <c r="E126" i="54"/>
  <c r="E128" i="54" s="1"/>
  <c r="E38" i="54"/>
  <c r="F37" i="54"/>
  <c r="E120" i="54"/>
  <c r="E205" i="54"/>
  <c r="G124" i="59"/>
  <c r="L11" i="72"/>
  <c r="L13" i="72" s="1"/>
  <c r="E185" i="54"/>
  <c r="C11" i="71"/>
  <c r="O9" i="71"/>
  <c r="O11" i="71" s="1"/>
  <c r="G11" i="60"/>
  <c r="H48" i="59"/>
  <c r="E175" i="54"/>
  <c r="E68" i="54"/>
  <c r="G85" i="60"/>
  <c r="G97" i="60" s="1"/>
  <c r="F24" i="60"/>
  <c r="G24" i="60" s="1"/>
  <c r="H44" i="59"/>
  <c r="E48" i="54"/>
  <c r="E195" i="54"/>
  <c r="G115" i="60"/>
  <c r="G125" i="60" s="1"/>
  <c r="E272" i="54"/>
  <c r="E274" i="54" s="1"/>
  <c r="C11" i="72"/>
  <c r="J11" i="72" s="1"/>
  <c r="Q26" i="91"/>
  <c r="Q29" i="91" s="1"/>
  <c r="E165" i="54"/>
  <c r="G23" i="60"/>
  <c r="F68" i="59"/>
  <c r="H68" i="59" s="1"/>
  <c r="G122" i="59"/>
  <c r="H79" i="59"/>
  <c r="N16" i="71"/>
  <c r="N18" i="71" s="1"/>
  <c r="M16" i="71"/>
  <c r="M18" i="71" s="1"/>
  <c r="L16" i="71"/>
  <c r="L18" i="71" s="1"/>
  <c r="K16" i="71"/>
  <c r="K18" i="71" s="1"/>
  <c r="J16" i="71"/>
  <c r="J18" i="71" s="1"/>
  <c r="I16" i="71"/>
  <c r="I18" i="71" s="1"/>
  <c r="H16" i="71"/>
  <c r="H18" i="71" s="1"/>
  <c r="G16" i="71"/>
  <c r="G18" i="71" s="1"/>
  <c r="F16" i="71"/>
  <c r="F18" i="71" s="1"/>
  <c r="E16" i="71"/>
  <c r="E18" i="71" s="1"/>
  <c r="D16" i="71"/>
  <c r="D18" i="71" s="1"/>
  <c r="P46" i="91"/>
  <c r="O46" i="91"/>
  <c r="N46" i="91"/>
  <c r="M46" i="91"/>
  <c r="L46" i="91"/>
  <c r="K46" i="91"/>
  <c r="H46" i="91"/>
  <c r="G46" i="91"/>
  <c r="F46" i="91"/>
  <c r="J68" i="59" l="1"/>
  <c r="L68" i="59" s="1"/>
  <c r="E156" i="54"/>
  <c r="H109" i="54"/>
  <c r="E236" i="54"/>
  <c r="F26" i="60"/>
  <c r="G73" i="59" s="1"/>
  <c r="H73" i="59" s="1"/>
  <c r="G26" i="60"/>
  <c r="H176" i="54"/>
  <c r="H44" i="91"/>
  <c r="P44" i="91"/>
  <c r="H216" i="54"/>
  <c r="H236" i="54"/>
  <c r="E89" i="54"/>
  <c r="J46" i="91"/>
  <c r="H256" i="54"/>
  <c r="H79" i="54"/>
  <c r="H246" i="54"/>
  <c r="E99" i="54"/>
  <c r="I98" i="54"/>
  <c r="I99" i="54" s="1"/>
  <c r="H99" i="54"/>
  <c r="G40" i="59"/>
  <c r="H40" i="59" s="1"/>
  <c r="H49" i="54"/>
  <c r="J44" i="91"/>
  <c r="K44" i="91"/>
  <c r="H69" i="54"/>
  <c r="L44" i="91"/>
  <c r="M44" i="91"/>
  <c r="Q51" i="91"/>
  <c r="L20" i="72" s="1"/>
  <c r="L22" i="72" s="1"/>
  <c r="I165" i="54"/>
  <c r="I166" i="54" s="1"/>
  <c r="H166" i="54"/>
  <c r="F44" i="91"/>
  <c r="N44" i="91"/>
  <c r="G44" i="91"/>
  <c r="O44" i="91"/>
  <c r="J91" i="59"/>
  <c r="F245" i="54"/>
  <c r="F246" i="54" s="1"/>
  <c r="E246" i="54"/>
  <c r="F52" i="91"/>
  <c r="N52" i="91"/>
  <c r="L73" i="59"/>
  <c r="K116" i="59"/>
  <c r="E46" i="91"/>
  <c r="Q49" i="91"/>
  <c r="G52" i="91"/>
  <c r="O52" i="91"/>
  <c r="I205" i="54"/>
  <c r="I206" i="54" s="1"/>
  <c r="H206" i="54"/>
  <c r="K36" i="59"/>
  <c r="K37" i="59" s="1"/>
  <c r="J89" i="59"/>
  <c r="L30" i="81"/>
  <c r="J44" i="81"/>
  <c r="L44" i="81" s="1"/>
  <c r="J42" i="81"/>
  <c r="L42" i="81" s="1"/>
  <c r="J23" i="59"/>
  <c r="J43" i="81"/>
  <c r="L43" i="81" s="1"/>
  <c r="Q40" i="91"/>
  <c r="H52" i="91"/>
  <c r="P52" i="91"/>
  <c r="I58" i="54"/>
  <c r="I59" i="54" s="1"/>
  <c r="H59" i="54"/>
  <c r="H121" i="54"/>
  <c r="F10" i="61"/>
  <c r="G12" i="59"/>
  <c r="H12" i="59" s="1"/>
  <c r="I195" i="54"/>
  <c r="I196" i="54" s="1"/>
  <c r="H196" i="54"/>
  <c r="E52" i="91"/>
  <c r="I225" i="54"/>
  <c r="I226" i="54" s="1"/>
  <c r="H226" i="54"/>
  <c r="Q47" i="91"/>
  <c r="C20" i="72" s="1"/>
  <c r="J20" i="72" s="1"/>
  <c r="I44" i="91"/>
  <c r="I46" i="91"/>
  <c r="I52" i="91"/>
  <c r="C16" i="71"/>
  <c r="Q42" i="91"/>
  <c r="G20" i="72" s="1"/>
  <c r="G22" i="72" s="1"/>
  <c r="J90" i="59"/>
  <c r="J26" i="58"/>
  <c r="D51" i="78" s="1"/>
  <c r="E51" i="78"/>
  <c r="I145" i="54"/>
  <c r="I146" i="54" s="1"/>
  <c r="H267" i="54"/>
  <c r="H146" i="54"/>
  <c r="I88" i="54"/>
  <c r="I89" i="54" s="1"/>
  <c r="H89" i="54"/>
  <c r="Q48" i="91"/>
  <c r="E44" i="91"/>
  <c r="J52" i="91"/>
  <c r="P41" i="81"/>
  <c r="Q57" i="81"/>
  <c r="R57" i="81" s="1"/>
  <c r="R42" i="59"/>
  <c r="I155" i="54"/>
  <c r="I156" i="54" s="1"/>
  <c r="H156" i="54"/>
  <c r="O26" i="58"/>
  <c r="Q26" i="58" s="1"/>
  <c r="N26" i="58" s="1"/>
  <c r="R26" i="58" s="1"/>
  <c r="M26" i="75"/>
  <c r="N26" i="75" s="1"/>
  <c r="M52" i="91"/>
  <c r="K52" i="91"/>
  <c r="K45" i="81"/>
  <c r="I185" i="54"/>
  <c r="I186" i="54" s="1"/>
  <c r="H186" i="54"/>
  <c r="Q41" i="91"/>
  <c r="L52" i="91"/>
  <c r="K53" i="81"/>
  <c r="L40" i="59"/>
  <c r="O45" i="81"/>
  <c r="L32" i="59"/>
  <c r="F48" i="54"/>
  <c r="F49" i="54" s="1"/>
  <c r="E49" i="54"/>
  <c r="F195" i="54"/>
  <c r="F196" i="54" s="1"/>
  <c r="E196" i="54"/>
  <c r="F165" i="54"/>
  <c r="F166" i="54" s="1"/>
  <c r="E166" i="54"/>
  <c r="E39" i="54"/>
  <c r="F38" i="54"/>
  <c r="F39" i="54" s="1"/>
  <c r="E121" i="54"/>
  <c r="E122" i="54" s="1"/>
  <c r="H26" i="58"/>
  <c r="H32" i="59"/>
  <c r="Q30" i="91"/>
  <c r="F68" i="54"/>
  <c r="F69" i="54" s="1"/>
  <c r="E69" i="54"/>
  <c r="F185" i="54"/>
  <c r="F186" i="54" s="1"/>
  <c r="E186" i="54"/>
  <c r="F108" i="54"/>
  <c r="F109" i="54" s="1"/>
  <c r="E109" i="54"/>
  <c r="F145" i="54"/>
  <c r="F146" i="54" s="1"/>
  <c r="E267" i="54"/>
  <c r="E146" i="54"/>
  <c r="G22" i="78"/>
  <c r="L22" i="78"/>
  <c r="F22" i="78"/>
  <c r="J13" i="72"/>
  <c r="N11" i="72"/>
  <c r="N13" i="72" s="1"/>
  <c r="E28" i="78" s="1"/>
  <c r="F175" i="54"/>
  <c r="E176" i="54"/>
  <c r="F176" i="54" s="1"/>
  <c r="F215" i="54"/>
  <c r="F216" i="54" s="1"/>
  <c r="E216" i="54"/>
  <c r="F225" i="54"/>
  <c r="F226" i="54" s="1"/>
  <c r="E226" i="54"/>
  <c r="F58" i="54"/>
  <c r="F59" i="54" s="1"/>
  <c r="E59" i="54"/>
  <c r="G48" i="81"/>
  <c r="F78" i="54"/>
  <c r="F79" i="54" s="1"/>
  <c r="E79" i="54"/>
  <c r="G84" i="59"/>
  <c r="G35" i="59"/>
  <c r="G34" i="59"/>
  <c r="G33" i="59"/>
  <c r="F23" i="59"/>
  <c r="H23" i="59" s="1"/>
  <c r="G91" i="59"/>
  <c r="G89" i="59"/>
  <c r="G92" i="59"/>
  <c r="G90" i="59"/>
  <c r="G85" i="59"/>
  <c r="G86" i="59"/>
  <c r="F255" i="54"/>
  <c r="F256" i="54" s="1"/>
  <c r="E256" i="54"/>
  <c r="F205" i="54"/>
  <c r="F206" i="54" s="1"/>
  <c r="E206" i="54"/>
  <c r="F45" i="81"/>
  <c r="F48" i="81" s="1"/>
  <c r="G116" i="59" l="1"/>
  <c r="G53" i="81"/>
  <c r="P56" i="91"/>
  <c r="P57" i="91" s="1"/>
  <c r="J99" i="59"/>
  <c r="J121" i="59" s="1"/>
  <c r="J101" i="59"/>
  <c r="J123" i="59" s="1"/>
  <c r="L123" i="59" s="1"/>
  <c r="G36" i="59"/>
  <c r="G37" i="59" s="1"/>
  <c r="H56" i="91"/>
  <c r="H57" i="91" s="1"/>
  <c r="L89" i="59"/>
  <c r="L91" i="59"/>
  <c r="H48" i="81"/>
  <c r="K56" i="91"/>
  <c r="K57" i="91" s="1"/>
  <c r="J56" i="91"/>
  <c r="J57" i="91" s="1"/>
  <c r="J45" i="81"/>
  <c r="J48" i="81" s="1"/>
  <c r="N56" i="91"/>
  <c r="N57" i="91" s="1"/>
  <c r="K48" i="81"/>
  <c r="Q44" i="91"/>
  <c r="D20" i="72" s="1"/>
  <c r="K20" i="72"/>
  <c r="K22" i="72" s="1"/>
  <c r="Q52" i="91"/>
  <c r="E56" i="91"/>
  <c r="E57" i="91" s="1"/>
  <c r="L53" i="81"/>
  <c r="L90" i="59"/>
  <c r="J100" i="59"/>
  <c r="J22" i="72"/>
  <c r="K125" i="59"/>
  <c r="K155" i="59" s="1"/>
  <c r="O56" i="91"/>
  <c r="O57" i="91" s="1"/>
  <c r="L56" i="91"/>
  <c r="L57" i="91" s="1"/>
  <c r="O16" i="71"/>
  <c r="O18" i="71" s="1"/>
  <c r="C18" i="71"/>
  <c r="O48" i="81"/>
  <c r="M56" i="91"/>
  <c r="M57" i="91" s="1"/>
  <c r="P32" i="59"/>
  <c r="P24" i="59"/>
  <c r="H268" i="54"/>
  <c r="H22" i="54"/>
  <c r="Q54" i="91"/>
  <c r="E20" i="72" s="1"/>
  <c r="G56" i="91"/>
  <c r="G57" i="91" s="1"/>
  <c r="G51" i="78"/>
  <c r="F51" i="78"/>
  <c r="L51" i="78"/>
  <c r="I56" i="91"/>
  <c r="I57" i="91" s="1"/>
  <c r="Q50" i="91"/>
  <c r="Q46" i="91"/>
  <c r="F20" i="72" s="1"/>
  <c r="M20" i="72"/>
  <c r="M22" i="72" s="1"/>
  <c r="L26" i="58"/>
  <c r="H122" i="54"/>
  <c r="J35" i="59"/>
  <c r="L35" i="59" s="1"/>
  <c r="J113" i="59"/>
  <c r="J34" i="59"/>
  <c r="L34" i="59" s="1"/>
  <c r="J33" i="59"/>
  <c r="L23" i="59"/>
  <c r="J102" i="59"/>
  <c r="F56" i="91"/>
  <c r="F57" i="91" s="1"/>
  <c r="F113" i="59"/>
  <c r="F35" i="59"/>
  <c r="H35" i="59" s="1"/>
  <c r="F33" i="59"/>
  <c r="F34" i="59"/>
  <c r="H34" i="59" s="1"/>
  <c r="H53" i="81"/>
  <c r="F90" i="59"/>
  <c r="F100" i="59" s="1"/>
  <c r="H45" i="81"/>
  <c r="G125" i="59"/>
  <c r="G155" i="59" s="1"/>
  <c r="F92" i="59"/>
  <c r="F102" i="59" s="1"/>
  <c r="F28" i="78"/>
  <c r="L28" i="78"/>
  <c r="G28" i="78"/>
  <c r="E268" i="54"/>
  <c r="E22" i="54"/>
  <c r="F22" i="54" s="1"/>
  <c r="R29" i="91"/>
  <c r="F91" i="59"/>
  <c r="F101" i="59" s="1"/>
  <c r="F89" i="59"/>
  <c r="F99" i="59" s="1"/>
  <c r="L99" i="59" l="1"/>
  <c r="L101" i="59"/>
  <c r="J111" i="59"/>
  <c r="L111" i="59" s="1"/>
  <c r="J109" i="59"/>
  <c r="L109" i="59" s="1"/>
  <c r="H92" i="59"/>
  <c r="L48" i="81"/>
  <c r="L45" i="81"/>
  <c r="H89" i="59"/>
  <c r="J36" i="59"/>
  <c r="J37" i="59" s="1"/>
  <c r="L33" i="59"/>
  <c r="L36" i="59" s="1"/>
  <c r="L37" i="59" s="1"/>
  <c r="Q57" i="91"/>
  <c r="K157" i="59"/>
  <c r="K11" i="58"/>
  <c r="Q56" i="91"/>
  <c r="J124" i="59"/>
  <c r="L124" i="59" s="1"/>
  <c r="J112" i="59"/>
  <c r="L112" i="59" s="1"/>
  <c r="L102" i="59"/>
  <c r="I22" i="54"/>
  <c r="O22" i="54"/>
  <c r="P22" i="54"/>
  <c r="Q22" i="54"/>
  <c r="K22" i="54"/>
  <c r="L22" i="54" s="1"/>
  <c r="M22" i="54"/>
  <c r="N22" i="54"/>
  <c r="N20" i="72"/>
  <c r="L121" i="59"/>
  <c r="Q24" i="59"/>
  <c r="R24" i="59" s="1"/>
  <c r="P31" i="81"/>
  <c r="Q31" i="81" s="1"/>
  <c r="R31" i="81" s="1"/>
  <c r="J110" i="59"/>
  <c r="L110" i="59" s="1"/>
  <c r="J122" i="59"/>
  <c r="L122" i="59" s="1"/>
  <c r="L100" i="59"/>
  <c r="H90" i="59"/>
  <c r="F121" i="59"/>
  <c r="F109" i="59"/>
  <c r="H109" i="59" s="1"/>
  <c r="H99" i="59"/>
  <c r="H91" i="59"/>
  <c r="F111" i="59"/>
  <c r="H111" i="59" s="1"/>
  <c r="F123" i="59"/>
  <c r="H123" i="59" s="1"/>
  <c r="H101" i="59"/>
  <c r="F112" i="59"/>
  <c r="H112" i="59" s="1"/>
  <c r="F124" i="59"/>
  <c r="H124" i="59" s="1"/>
  <c r="H102" i="59"/>
  <c r="H33" i="59"/>
  <c r="H36" i="59" s="1"/>
  <c r="H37" i="59" s="1"/>
  <c r="F36" i="59"/>
  <c r="F37" i="59" s="1"/>
  <c r="F122" i="59"/>
  <c r="H122" i="59" s="1"/>
  <c r="F110" i="59"/>
  <c r="H110" i="59" s="1"/>
  <c r="H100" i="59"/>
  <c r="G11" i="58"/>
  <c r="G157" i="59"/>
  <c r="H29" i="61" l="1"/>
  <c r="H22" i="61"/>
  <c r="E39" i="78"/>
  <c r="N22" i="72"/>
  <c r="R57" i="91" s="1"/>
  <c r="E57" i="78"/>
  <c r="J104" i="59"/>
  <c r="H11" i="80"/>
  <c r="J106" i="59"/>
  <c r="J105" i="59"/>
  <c r="F106" i="59"/>
  <c r="F104" i="59"/>
  <c r="F105" i="59"/>
  <c r="E11" i="80"/>
  <c r="F22" i="61"/>
  <c r="F29" i="61"/>
  <c r="H121" i="59"/>
  <c r="E10" i="78"/>
  <c r="J94" i="59" l="1"/>
  <c r="L104" i="59"/>
  <c r="G57" i="78"/>
  <c r="F57" i="78"/>
  <c r="L57" i="78"/>
  <c r="J95" i="59"/>
  <c r="L105" i="59"/>
  <c r="J96" i="59"/>
  <c r="L106" i="59"/>
  <c r="F95" i="59"/>
  <c r="H105" i="59"/>
  <c r="F94" i="59"/>
  <c r="H104" i="59"/>
  <c r="F96" i="59"/>
  <c r="H106" i="59"/>
  <c r="J85" i="59" l="1"/>
  <c r="L85" i="59" s="1"/>
  <c r="J117" i="59"/>
  <c r="L117" i="59" s="1"/>
  <c r="L95" i="59"/>
  <c r="J86" i="59"/>
  <c r="L86" i="59" s="1"/>
  <c r="J118" i="59"/>
  <c r="L118" i="59" s="1"/>
  <c r="L96" i="59"/>
  <c r="L113" i="59"/>
  <c r="J116" i="59"/>
  <c r="J84" i="59"/>
  <c r="L84" i="59" s="1"/>
  <c r="L94" i="59"/>
  <c r="J70" i="59"/>
  <c r="L70" i="59" s="1"/>
  <c r="F86" i="59"/>
  <c r="H86" i="59" s="1"/>
  <c r="F118" i="59"/>
  <c r="H118" i="59" s="1"/>
  <c r="H96" i="59"/>
  <c r="H113" i="59"/>
  <c r="F84" i="59"/>
  <c r="H84" i="59" s="1"/>
  <c r="F116" i="59"/>
  <c r="H94" i="59"/>
  <c r="F70" i="59"/>
  <c r="H70" i="59" s="1"/>
  <c r="F85" i="59"/>
  <c r="H85" i="59" s="1"/>
  <c r="F117" i="59"/>
  <c r="H117" i="59" s="1"/>
  <c r="H95" i="59"/>
  <c r="H19" i="61" l="1"/>
  <c r="H20" i="61"/>
  <c r="J125" i="59"/>
  <c r="J155" i="59" s="1"/>
  <c r="L116" i="59"/>
  <c r="L125" i="59" s="1"/>
  <c r="L155" i="59" s="1"/>
  <c r="F19" i="61"/>
  <c r="F125" i="59"/>
  <c r="F155" i="59" s="1"/>
  <c r="F20" i="61"/>
  <c r="H116" i="59"/>
  <c r="H125" i="59" s="1"/>
  <c r="H155" i="59" s="1"/>
  <c r="J11" i="58" l="1"/>
  <c r="J157" i="59"/>
  <c r="F157" i="59"/>
  <c r="F11" i="58"/>
  <c r="N47" i="100" l="1"/>
  <c r="G11" i="80"/>
  <c r="L157" i="59"/>
  <c r="D39" i="78"/>
  <c r="L11" i="58"/>
  <c r="D10" i="78"/>
  <c r="H11" i="58"/>
  <c r="D11" i="80"/>
  <c r="N46" i="100"/>
  <c r="H157" i="59"/>
  <c r="F39" i="78" l="1"/>
  <c r="G39" i="78"/>
  <c r="H39" i="78" s="1"/>
  <c r="L39" i="78" s="1"/>
  <c r="F10" i="78"/>
  <c r="G10" i="78"/>
  <c r="H10" i="78" s="1"/>
  <c r="L10" i="78" s="1"/>
  <c r="N25" i="59" l="1"/>
  <c r="N28" i="59" s="1"/>
  <c r="N37" i="81"/>
  <c r="N38" i="81"/>
  <c r="R34" i="81"/>
  <c r="J14" i="65" l="1"/>
  <c r="D41" i="78" s="1"/>
  <c r="E41" i="78"/>
  <c r="G41" i="78" l="1"/>
  <c r="H41" i="78" s="1"/>
  <c r="L41" i="78" s="1"/>
  <c r="F41" i="78"/>
  <c r="J56" i="59" l="1"/>
  <c r="L56" i="59" s="1"/>
  <c r="J53" i="59"/>
  <c r="L53" i="59" s="1"/>
  <c r="J55" i="59"/>
  <c r="L55" i="59" s="1"/>
  <c r="J54" i="59"/>
  <c r="L54" i="59" s="1"/>
  <c r="E6" i="100" l="1"/>
  <c r="E42" i="78"/>
  <c r="D42" i="78" l="1"/>
  <c r="L42" i="78"/>
  <c r="L24" i="54" l="1"/>
  <c r="F6" i="100" l="1"/>
  <c r="I26" i="77" l="1"/>
  <c r="I23" i="77"/>
  <c r="I22" i="77"/>
  <c r="I13" i="77"/>
  <c r="I12" i="77"/>
  <c r="E21" i="69"/>
  <c r="K13" i="65" l="1"/>
  <c r="I21" i="77"/>
  <c r="I11" i="77" l="1"/>
  <c r="I27" i="77" s="1"/>
  <c r="H27" i="77"/>
  <c r="K21" i="58" s="1"/>
  <c r="K17" i="65"/>
  <c r="K10" i="65"/>
  <c r="M47" i="100"/>
  <c r="O47" i="100" s="1"/>
  <c r="E40" i="78" l="1"/>
  <c r="K13" i="58"/>
  <c r="G58" i="78"/>
  <c r="H58" i="78" s="1"/>
  <c r="L58" i="78" s="1"/>
  <c r="L59" i="78" s="1"/>
  <c r="P47" i="100"/>
  <c r="E46" i="78"/>
  <c r="J21" i="58"/>
  <c r="D46" i="78" s="1"/>
  <c r="L21" i="58" l="1"/>
  <c r="L46" i="78"/>
  <c r="F46" i="78"/>
  <c r="G46" i="78"/>
  <c r="S21" i="58" l="1"/>
  <c r="S26" i="58"/>
  <c r="T26" i="58" l="1"/>
  <c r="T21" i="58"/>
  <c r="U26" i="58" l="1"/>
  <c r="U21" i="58"/>
  <c r="V26" i="58" l="1"/>
  <c r="V21" i="58"/>
  <c r="W26" i="58" l="1"/>
  <c r="W21" i="58"/>
  <c r="S14" i="65" l="1"/>
  <c r="L13" i="66"/>
  <c r="O17" i="65"/>
  <c r="O13" i="58" s="1"/>
  <c r="P14" i="65"/>
  <c r="P17" i="65" s="1"/>
  <c r="P13" i="58" s="1"/>
  <c r="Q14" i="65" l="1"/>
  <c r="Q17" i="65" s="1"/>
  <c r="N13" i="66"/>
  <c r="T14" i="65"/>
  <c r="Q13" i="58"/>
  <c r="N14" i="65" l="1"/>
  <c r="U14" i="65"/>
  <c r="P13" i="66"/>
  <c r="R13" i="66" l="1"/>
  <c r="V14" i="65"/>
  <c r="T13" i="66" l="1"/>
  <c r="W14" i="65"/>
  <c r="F11" i="77" l="1"/>
  <c r="D6" i="100" l="1"/>
  <c r="E13" i="78"/>
  <c r="M46" i="100"/>
  <c r="O46" i="100" s="1"/>
  <c r="P46" i="100" l="1"/>
  <c r="G29" i="78"/>
  <c r="H29" i="78" s="1"/>
  <c r="L29" i="78" s="1"/>
  <c r="L30" i="78" s="1"/>
  <c r="D13" i="78"/>
  <c r="L13" i="78"/>
  <c r="F53" i="59" l="1"/>
  <c r="H53" i="59" s="1"/>
  <c r="F23" i="77" l="1"/>
  <c r="D21" i="69" l="1"/>
  <c r="G13" i="65" l="1"/>
  <c r="G10" i="65" l="1"/>
  <c r="G17" i="65"/>
  <c r="F56" i="59"/>
  <c r="H56" i="59" s="1"/>
  <c r="F55" i="59"/>
  <c r="H55" i="59" s="1"/>
  <c r="G13" i="58" l="1"/>
  <c r="E11" i="78"/>
  <c r="F26" i="77" l="1"/>
  <c r="F22" i="77"/>
  <c r="F21" i="77"/>
  <c r="F13" i="77"/>
  <c r="F54" i="59"/>
  <c r="H54" i="59" s="1"/>
  <c r="F12" i="77" l="1"/>
  <c r="F27" i="77" s="1"/>
  <c r="E27" i="77"/>
  <c r="G21" i="58" s="1"/>
  <c r="E17" i="78" l="1"/>
  <c r="F21" i="58"/>
  <c r="D17" i="78" l="1"/>
  <c r="G17" i="78" s="1"/>
  <c r="H21" i="58"/>
  <c r="L17" i="78"/>
  <c r="F17" i="78" l="1"/>
  <c r="E30" i="61" l="1"/>
  <c r="E34" i="61" s="1"/>
  <c r="E19" i="58" s="1"/>
  <c r="E23" i="58" s="1"/>
  <c r="G30" i="61"/>
  <c r="G34" i="61" s="1"/>
  <c r="I19" i="58" s="1"/>
  <c r="I23" i="58" s="1"/>
  <c r="I30" i="61"/>
  <c r="I34" i="61" s="1"/>
  <c r="M19" i="58" s="1"/>
  <c r="M23" i="58" s="1"/>
  <c r="M27" i="58" s="1"/>
  <c r="I9" i="80" s="1"/>
  <c r="E27" i="58" l="1"/>
  <c r="C9" i="80" s="1"/>
  <c r="I27" i="58"/>
  <c r="F9" i="80" s="1"/>
  <c r="Q50" i="59" l="1"/>
  <c r="Q60" i="59"/>
  <c r="Q59" i="59" l="1"/>
  <c r="N59" i="59" s="1"/>
  <c r="R59" i="59" s="1"/>
  <c r="N50" i="59"/>
  <c r="N60" i="59" s="1"/>
  <c r="R60" i="59" s="1"/>
  <c r="Q48" i="59"/>
  <c r="N48" i="59" s="1"/>
  <c r="Q95" i="59"/>
  <c r="Q96" i="59"/>
  <c r="Q94" i="59"/>
  <c r="Q49" i="59"/>
  <c r="N49" i="59" s="1"/>
  <c r="R49" i="59" s="1"/>
  <c r="R48" i="59" l="1"/>
  <c r="R50" i="59"/>
  <c r="Q99" i="59" l="1"/>
  <c r="N130" i="60" l="1"/>
  <c r="K130" i="60" s="1"/>
  <c r="O130" i="60" s="1"/>
  <c r="Q102" i="59"/>
  <c r="N136" i="60"/>
  <c r="K136" i="60" s="1"/>
  <c r="O136" i="60" s="1"/>
  <c r="N132" i="60"/>
  <c r="K132" i="60" s="1"/>
  <c r="O132" i="60" s="1"/>
  <c r="N129" i="60"/>
  <c r="K129" i="60" s="1"/>
  <c r="O129" i="60" s="1"/>
  <c r="N133" i="60"/>
  <c r="K133" i="60" s="1"/>
  <c r="O133" i="60" s="1"/>
  <c r="N131" i="60"/>
  <c r="K131" i="60" s="1"/>
  <c r="O131" i="60" s="1"/>
  <c r="N137" i="60"/>
  <c r="K137" i="60" s="1"/>
  <c r="O137" i="60" s="1"/>
  <c r="N128" i="60"/>
  <c r="N135" i="60"/>
  <c r="K135" i="60" s="1"/>
  <c r="O135" i="60" s="1"/>
  <c r="N134" i="60"/>
  <c r="K134" i="60" s="1"/>
  <c r="O134" i="60" s="1"/>
  <c r="Q100" i="59"/>
  <c r="K128" i="60" l="1"/>
  <c r="K138" i="60" s="1"/>
  <c r="N81" i="59" s="1"/>
  <c r="N138" i="60"/>
  <c r="O128" i="60" l="1"/>
  <c r="O138" i="60" s="1"/>
  <c r="P81" i="59"/>
  <c r="Q53" i="59"/>
  <c r="N53" i="59" s="1"/>
  <c r="R53" i="59" s="1"/>
  <c r="Q54" i="59"/>
  <c r="N54" i="59" s="1"/>
  <c r="R54" i="59" s="1"/>
  <c r="Q56" i="59"/>
  <c r="N56" i="59" s="1"/>
  <c r="R56" i="59" s="1"/>
  <c r="N112" i="60" l="1"/>
  <c r="K112" i="60" s="1"/>
  <c r="N78" i="59" s="1"/>
  <c r="P78" i="59"/>
  <c r="N97" i="60"/>
  <c r="K97" i="60" s="1"/>
  <c r="N79" i="59" s="1"/>
  <c r="P79" i="59"/>
  <c r="Q81" i="59"/>
  <c r="R81" i="59" s="1"/>
  <c r="P124" i="59"/>
  <c r="Q124" i="59" s="1"/>
  <c r="Q66" i="59" l="1"/>
  <c r="N66" i="59" s="1"/>
  <c r="R66" i="59" s="1"/>
  <c r="P112" i="59"/>
  <c r="Q112" i="59" s="1"/>
  <c r="Q79" i="59"/>
  <c r="R79" i="59" s="1"/>
  <c r="P122" i="59"/>
  <c r="Q122" i="59" s="1"/>
  <c r="Q63" i="59"/>
  <c r="N63" i="59" s="1"/>
  <c r="R63" i="59" s="1"/>
  <c r="P109" i="59"/>
  <c r="Q109" i="59" s="1"/>
  <c r="Q64" i="59"/>
  <c r="N64" i="59" s="1"/>
  <c r="R64" i="59" s="1"/>
  <c r="P110" i="59"/>
  <c r="Q110" i="59" s="1"/>
  <c r="Q78" i="59"/>
  <c r="R78" i="59" s="1"/>
  <c r="P121" i="59"/>
  <c r="Q121" i="59" s="1"/>
  <c r="U42" i="81" l="1"/>
  <c r="U43" i="81"/>
  <c r="U44" i="81"/>
  <c r="V44" i="81"/>
  <c r="V43" i="81"/>
  <c r="V42" i="81"/>
  <c r="T44" i="81"/>
  <c r="T43" i="81"/>
  <c r="T42" i="81"/>
  <c r="S44" i="81"/>
  <c r="S42" i="81"/>
  <c r="S43" i="81"/>
  <c r="W42" i="81"/>
  <c r="W43" i="81"/>
  <c r="W44" i="81"/>
  <c r="V45" i="81" l="1"/>
  <c r="V48" i="81" s="1"/>
  <c r="S45" i="81"/>
  <c r="S48" i="81" s="1"/>
  <c r="W45" i="81"/>
  <c r="W48" i="81" s="1"/>
  <c r="T45" i="81"/>
  <c r="T48" i="81" s="1"/>
  <c r="U45" i="81"/>
  <c r="U48" i="81" s="1"/>
  <c r="V13" i="59" l="1"/>
  <c r="S13" i="59"/>
  <c r="W13" i="59"/>
  <c r="T13" i="59"/>
  <c r="U13" i="59"/>
  <c r="N54" i="60" l="1"/>
  <c r="K54" i="60" s="1"/>
  <c r="N75" i="59" s="1"/>
  <c r="P75" i="59"/>
  <c r="P74" i="59" l="1"/>
  <c r="N40" i="60"/>
  <c r="K40" i="60" s="1"/>
  <c r="N74" i="59" s="1"/>
  <c r="N26" i="60"/>
  <c r="K26" i="60" s="1"/>
  <c r="N73" i="59" s="1"/>
  <c r="P73" i="59"/>
  <c r="Q75" i="59"/>
  <c r="R75" i="59" s="1"/>
  <c r="P118" i="59"/>
  <c r="Q118" i="59" s="1"/>
  <c r="Q73" i="59" l="1"/>
  <c r="R73" i="59" s="1"/>
  <c r="P116" i="59"/>
  <c r="Q74" i="59"/>
  <c r="R74" i="59" s="1"/>
  <c r="P117" i="59"/>
  <c r="Q117" i="59" s="1"/>
  <c r="Q116" i="59" l="1"/>
  <c r="P125" i="59"/>
  <c r="P155" i="59" s="1"/>
  <c r="P11" i="58" l="1"/>
  <c r="Q11" i="58" s="1"/>
  <c r="Q125" i="59"/>
  <c r="Q155" i="59" s="1"/>
  <c r="Q58" i="59" l="1"/>
  <c r="N58" i="59" s="1"/>
  <c r="P68" i="59"/>
  <c r="P70" i="59" l="1"/>
  <c r="P104" i="59"/>
  <c r="P106" i="59"/>
  <c r="Q106" i="59" s="1"/>
  <c r="P105" i="59"/>
  <c r="Q105" i="59" s="1"/>
  <c r="Q68" i="59"/>
  <c r="Q70" i="59" s="1"/>
  <c r="N68" i="59" l="1"/>
  <c r="R68" i="59" s="1"/>
  <c r="P113" i="59"/>
  <c r="Q104" i="59"/>
  <c r="R58" i="59"/>
  <c r="P40" i="59" l="1"/>
  <c r="P53" i="81" s="1"/>
  <c r="Q113" i="59"/>
  <c r="P34" i="59"/>
  <c r="Q34" i="59" s="1"/>
  <c r="Q23" i="59"/>
  <c r="P33" i="59"/>
  <c r="P30" i="81"/>
  <c r="P35" i="59"/>
  <c r="Q35" i="59" s="1"/>
  <c r="P91" i="59"/>
  <c r="P85" i="59"/>
  <c r="P86" i="59"/>
  <c r="P84" i="59"/>
  <c r="P89" i="59"/>
  <c r="P90" i="59"/>
  <c r="P92" i="59"/>
  <c r="Q33" i="59" l="1"/>
  <c r="P36" i="59"/>
  <c r="P37" i="59" s="1"/>
  <c r="Q91" i="59"/>
  <c r="Q13" i="59"/>
  <c r="N23" i="59"/>
  <c r="Q86" i="59"/>
  <c r="Q84" i="59"/>
  <c r="Q85" i="59"/>
  <c r="Q89" i="59"/>
  <c r="Q90" i="59"/>
  <c r="Q92" i="59"/>
  <c r="L26" i="71"/>
  <c r="J26" i="71"/>
  <c r="N26" i="71"/>
  <c r="M26" i="71"/>
  <c r="I26" i="71"/>
  <c r="K26" i="71"/>
  <c r="P44" i="81"/>
  <c r="Q44" i="81" s="1"/>
  <c r="P43" i="81"/>
  <c r="Q43" i="81" s="1"/>
  <c r="Q30" i="81"/>
  <c r="P42" i="81"/>
  <c r="Q40" i="59"/>
  <c r="P45" i="81" l="1"/>
  <c r="Q42" i="81"/>
  <c r="R23" i="59"/>
  <c r="N30" i="81"/>
  <c r="R30" i="81" s="1"/>
  <c r="N34" i="59"/>
  <c r="R34" i="59" s="1"/>
  <c r="N35" i="59"/>
  <c r="R35" i="59" s="1"/>
  <c r="N113" i="59"/>
  <c r="N33" i="59"/>
  <c r="N92" i="59"/>
  <c r="N102" i="59" s="1"/>
  <c r="N13" i="59"/>
  <c r="Q21" i="59"/>
  <c r="N21" i="59" s="1"/>
  <c r="R21" i="59" s="1"/>
  <c r="N90" i="59"/>
  <c r="N100" i="59" s="1"/>
  <c r="N110" i="59" s="1"/>
  <c r="N91" i="59"/>
  <c r="N101" i="59" s="1"/>
  <c r="F4" i="100"/>
  <c r="N16" i="81"/>
  <c r="R16" i="81" s="1"/>
  <c r="R13" i="59" s="1"/>
  <c r="R38" i="81"/>
  <c r="Q41" i="81"/>
  <c r="R40" i="59"/>
  <c r="Q53" i="81"/>
  <c r="R53" i="81" s="1"/>
  <c r="N89" i="59"/>
  <c r="N99" i="59" s="1"/>
  <c r="Q37" i="59"/>
  <c r="P157" i="59"/>
  <c r="G30" i="72"/>
  <c r="R33" i="59"/>
  <c r="R89" i="59" l="1"/>
  <c r="R91" i="59"/>
  <c r="R92" i="59"/>
  <c r="C24" i="71"/>
  <c r="G24" i="71"/>
  <c r="G26" i="71" s="1"/>
  <c r="E24" i="71"/>
  <c r="E26" i="71" s="1"/>
  <c r="D24" i="71"/>
  <c r="D26" i="71" s="1"/>
  <c r="F24" i="71"/>
  <c r="F26" i="71" s="1"/>
  <c r="H24" i="71"/>
  <c r="H26" i="71" s="1"/>
  <c r="Q157" i="59"/>
  <c r="K11" i="80" s="1"/>
  <c r="Q36" i="59"/>
  <c r="Q29" i="59" s="1"/>
  <c r="N26" i="81"/>
  <c r="R26" i="81" s="1"/>
  <c r="N109" i="59"/>
  <c r="R109" i="59" s="1"/>
  <c r="N121" i="59"/>
  <c r="R99" i="59"/>
  <c r="N122" i="59"/>
  <c r="R122" i="59" s="1"/>
  <c r="R110" i="59"/>
  <c r="R100" i="59"/>
  <c r="N44" i="81"/>
  <c r="R44" i="81" s="1"/>
  <c r="N43" i="81"/>
  <c r="R43" i="81" s="1"/>
  <c r="N42" i="81"/>
  <c r="R42" i="81" s="1"/>
  <c r="N112" i="59"/>
  <c r="R112" i="59" s="1"/>
  <c r="N124" i="59"/>
  <c r="R124" i="59" s="1"/>
  <c r="R102" i="59"/>
  <c r="R101" i="59"/>
  <c r="N111" i="59"/>
  <c r="R111" i="59" s="1"/>
  <c r="N123" i="59"/>
  <c r="R123" i="59" s="1"/>
  <c r="N36" i="59"/>
  <c r="N37" i="59" s="1"/>
  <c r="R36" i="59"/>
  <c r="R37" i="59" s="1"/>
  <c r="R90" i="59"/>
  <c r="Q45" i="81"/>
  <c r="P48" i="81"/>
  <c r="Q48" i="81" s="1"/>
  <c r="N45" i="81" l="1"/>
  <c r="N48" i="81" s="1"/>
  <c r="R48" i="81" s="1"/>
  <c r="N104" i="59"/>
  <c r="J22" i="61"/>
  <c r="J29" i="61"/>
  <c r="R121" i="59"/>
  <c r="R29" i="59"/>
  <c r="Q32" i="59"/>
  <c r="N108" i="59"/>
  <c r="N107" i="59"/>
  <c r="N105" i="59"/>
  <c r="N106" i="59"/>
  <c r="O24" i="71"/>
  <c r="O26" i="71" s="1"/>
  <c r="C26" i="71"/>
  <c r="G29" i="72" s="1"/>
  <c r="R45" i="81" l="1"/>
  <c r="R104" i="59"/>
  <c r="N94" i="59"/>
  <c r="N116" i="59" s="1"/>
  <c r="N96" i="59"/>
  <c r="R106" i="59"/>
  <c r="O29" i="72"/>
  <c r="F29" i="72"/>
  <c r="G31" i="72"/>
  <c r="D29" i="72"/>
  <c r="N95" i="59"/>
  <c r="R105" i="59"/>
  <c r="R32" i="59"/>
  <c r="R94" i="59" l="1"/>
  <c r="N84" i="59"/>
  <c r="R84" i="59" s="1"/>
  <c r="R113" i="59"/>
  <c r="N85" i="59"/>
  <c r="R85" i="59" s="1"/>
  <c r="N117" i="59"/>
  <c r="R117" i="59" s="1"/>
  <c r="R95" i="59"/>
  <c r="R116" i="59"/>
  <c r="N118" i="59"/>
  <c r="R118" i="59" s="1"/>
  <c r="N86" i="59"/>
  <c r="R86" i="59" s="1"/>
  <c r="R96" i="59"/>
  <c r="N70" i="59"/>
  <c r="R70" i="59" s="1"/>
  <c r="J19" i="61" l="1"/>
  <c r="N125" i="59"/>
  <c r="N155" i="59" s="1"/>
  <c r="R125" i="59"/>
  <c r="R155" i="59" s="1"/>
  <c r="R157" i="59" s="1"/>
  <c r="J20" i="61"/>
  <c r="N157" i="59" l="1"/>
  <c r="J11" i="80" s="1"/>
  <c r="N11" i="58"/>
  <c r="R11" i="58" l="1"/>
  <c r="K30" i="72" l="1"/>
  <c r="K31" i="72" s="1"/>
  <c r="F68" i="70" l="1"/>
  <c r="D68" i="118"/>
  <c r="D85" i="70" l="1"/>
  <c r="F70" i="70"/>
  <c r="D70" i="118"/>
  <c r="D71" i="118"/>
  <c r="F71" i="70"/>
  <c r="E71" i="70"/>
  <c r="A98" i="118"/>
  <c r="A98" i="70"/>
  <c r="A102" i="70"/>
  <c r="A102" i="118"/>
  <c r="D73" i="118"/>
  <c r="E73" i="70"/>
  <c r="H73" i="70" s="1"/>
  <c r="I73" i="70" s="1"/>
  <c r="F73" i="70"/>
  <c r="A97" i="118"/>
  <c r="A97" i="70"/>
  <c r="A109" i="118"/>
  <c r="A109" i="70"/>
  <c r="E40" i="55"/>
  <c r="F10" i="55"/>
  <c r="E19" i="55"/>
  <c r="F74" i="70"/>
  <c r="D74" i="118"/>
  <c r="F82" i="70"/>
  <c r="D82" i="118"/>
  <c r="D79" i="118"/>
  <c r="F79" i="70"/>
  <c r="A106" i="70"/>
  <c r="A106" i="118"/>
  <c r="A110" i="70"/>
  <c r="A110" i="118"/>
  <c r="F72" i="70"/>
  <c r="D72" i="118"/>
  <c r="F80" i="70"/>
  <c r="D80" i="118"/>
  <c r="D81" i="118"/>
  <c r="F81" i="70"/>
  <c r="A101" i="70"/>
  <c r="A101" i="118"/>
  <c r="A105" i="70"/>
  <c r="A105" i="118"/>
  <c r="D14" i="118"/>
  <c r="H14" i="70"/>
  <c r="D122" i="70"/>
  <c r="D31" i="70"/>
  <c r="E13" i="55" s="1"/>
  <c r="E14" i="55" s="1"/>
  <c r="D123" i="70"/>
  <c r="H15" i="70"/>
  <c r="I15" i="70" s="1"/>
  <c r="D15" i="118"/>
  <c r="D16" i="118"/>
  <c r="D124" i="70"/>
  <c r="H16" i="70"/>
  <c r="I16" i="70" s="1"/>
  <c r="D125" i="70"/>
  <c r="H17" i="70"/>
  <c r="I17" i="70" s="1"/>
  <c r="D17" i="118"/>
  <c r="D18" i="118"/>
  <c r="D126" i="70"/>
  <c r="H18" i="70"/>
  <c r="I18" i="70" s="1"/>
  <c r="H19" i="70"/>
  <c r="I19" i="70" s="1"/>
  <c r="M19" i="70" s="1"/>
  <c r="N19" i="70" s="1"/>
  <c r="D127" i="70"/>
  <c r="D19" i="118"/>
  <c r="D20" i="118"/>
  <c r="D128" i="70"/>
  <c r="H20" i="70"/>
  <c r="I20" i="70" s="1"/>
  <c r="D21" i="118"/>
  <c r="H21" i="70"/>
  <c r="I21" i="70" s="1"/>
  <c r="D129" i="70"/>
  <c r="H22" i="70"/>
  <c r="I22" i="70" s="1"/>
  <c r="D130" i="70"/>
  <c r="D22" i="118"/>
  <c r="D131" i="70"/>
  <c r="H23" i="70"/>
  <c r="I23" i="70" s="1"/>
  <c r="D23" i="118"/>
  <c r="D24" i="118"/>
  <c r="H24" i="70"/>
  <c r="I24" i="70" s="1"/>
  <c r="M24" i="70" s="1"/>
  <c r="N24" i="70" s="1"/>
  <c r="D132" i="70"/>
  <c r="H25" i="70"/>
  <c r="I25" i="70" s="1"/>
  <c r="D133" i="70"/>
  <c r="D25" i="118"/>
  <c r="H26" i="70"/>
  <c r="I26" i="70" s="1"/>
  <c r="D134" i="70"/>
  <c r="D26" i="118"/>
  <c r="D27" i="118"/>
  <c r="H27" i="70"/>
  <c r="I27" i="70" s="1"/>
  <c r="D135" i="70"/>
  <c r="H28" i="70"/>
  <c r="I28" i="70" s="1"/>
  <c r="D28" i="118"/>
  <c r="D136" i="70"/>
  <c r="D137" i="70"/>
  <c r="D29" i="118"/>
  <c r="H29" i="70"/>
  <c r="I29" i="70" s="1"/>
  <c r="D30" i="118"/>
  <c r="H30" i="70"/>
  <c r="I30" i="70" s="1"/>
  <c r="D138" i="70"/>
  <c r="F75" i="70"/>
  <c r="D75" i="118"/>
  <c r="D83" i="118"/>
  <c r="F83" i="70"/>
  <c r="A96" i="70"/>
  <c r="A96" i="118"/>
  <c r="A100" i="70"/>
  <c r="A100" i="118"/>
  <c r="A104" i="118"/>
  <c r="A104" i="70"/>
  <c r="A108" i="118"/>
  <c r="A108" i="70"/>
  <c r="F76" i="70"/>
  <c r="D76" i="118"/>
  <c r="D84" i="118"/>
  <c r="F84" i="70"/>
  <c r="E78" i="70"/>
  <c r="F78" i="70"/>
  <c r="D78" i="118"/>
  <c r="E69" i="70"/>
  <c r="D69" i="118"/>
  <c r="F69" i="70"/>
  <c r="E77" i="70"/>
  <c r="F77" i="70"/>
  <c r="D77" i="118"/>
  <c r="A95" i="70"/>
  <c r="A95" i="118"/>
  <c r="A99" i="70"/>
  <c r="A99" i="118"/>
  <c r="A103" i="118"/>
  <c r="A103" i="70"/>
  <c r="A107" i="118"/>
  <c r="A107" i="70"/>
  <c r="A111" i="70"/>
  <c r="A111" i="118"/>
  <c r="F68" i="118"/>
  <c r="F122" i="70"/>
  <c r="H78" i="70" l="1"/>
  <c r="I78" i="70" s="1"/>
  <c r="H77" i="70"/>
  <c r="I77" i="70" s="1"/>
  <c r="H69" i="70"/>
  <c r="I69" i="70" s="1"/>
  <c r="J69" i="70"/>
  <c r="M69" i="70" s="1"/>
  <c r="N69" i="70" s="1"/>
  <c r="K69" i="70"/>
  <c r="F134" i="70"/>
  <c r="F80" i="118"/>
  <c r="F134" i="118" s="1"/>
  <c r="M15" i="70"/>
  <c r="N15" i="70" s="1"/>
  <c r="I123" i="70"/>
  <c r="E20" i="55"/>
  <c r="F20" i="55" s="1"/>
  <c r="E41" i="55"/>
  <c r="E42" i="55" s="1"/>
  <c r="F13" i="55"/>
  <c r="M28" i="70"/>
  <c r="N28" i="70" s="1"/>
  <c r="D130" i="118"/>
  <c r="H22" i="118"/>
  <c r="I22" i="118" s="1"/>
  <c r="M17" i="70"/>
  <c r="N17" i="70" s="1"/>
  <c r="F19" i="55"/>
  <c r="F77" i="118"/>
  <c r="F131" i="118" s="1"/>
  <c r="F131" i="70"/>
  <c r="F78" i="118"/>
  <c r="F132" i="118" s="1"/>
  <c r="F132" i="70"/>
  <c r="F76" i="118"/>
  <c r="F130" i="118" s="1"/>
  <c r="F130" i="70"/>
  <c r="M30" i="70"/>
  <c r="N30" i="70" s="1"/>
  <c r="M25" i="70"/>
  <c r="N25" i="70" s="1"/>
  <c r="H19" i="118"/>
  <c r="I19" i="118" s="1"/>
  <c r="M19" i="118" s="1"/>
  <c r="N19" i="118" s="1"/>
  <c r="D127" i="118"/>
  <c r="D139" i="70"/>
  <c r="F81" i="118"/>
  <c r="F135" i="118" s="1"/>
  <c r="F135" i="70"/>
  <c r="E73" i="118"/>
  <c r="E127" i="118" s="1"/>
  <c r="E127" i="70"/>
  <c r="H23" i="118"/>
  <c r="I23" i="118" s="1"/>
  <c r="D131" i="118"/>
  <c r="M23" i="70"/>
  <c r="N23" i="70" s="1"/>
  <c r="I131" i="70"/>
  <c r="I132" i="70"/>
  <c r="J78" i="70"/>
  <c r="K78" i="70"/>
  <c r="F75" i="118"/>
  <c r="F129" i="118" s="1"/>
  <c r="F129" i="70"/>
  <c r="D133" i="118"/>
  <c r="H25" i="118"/>
  <c r="I25" i="118" s="1"/>
  <c r="I127" i="70"/>
  <c r="K73" i="70"/>
  <c r="J73" i="70"/>
  <c r="M73" i="70" s="1"/>
  <c r="N73" i="70" s="1"/>
  <c r="N127" i="70" s="1"/>
  <c r="H20" i="118"/>
  <c r="I20" i="118" s="1"/>
  <c r="D128" i="118"/>
  <c r="E16" i="54"/>
  <c r="D23" i="69"/>
  <c r="F72" i="118"/>
  <c r="F126" i="118" s="1"/>
  <c r="F126" i="70"/>
  <c r="E131" i="70"/>
  <c r="E77" i="118"/>
  <c r="E131" i="118" s="1"/>
  <c r="E132" i="70"/>
  <c r="E78" i="118"/>
  <c r="E132" i="118" s="1"/>
  <c r="H30" i="118"/>
  <c r="I30" i="118" s="1"/>
  <c r="D138" i="118"/>
  <c r="M27" i="70"/>
  <c r="N27" i="70" s="1"/>
  <c r="M22" i="70"/>
  <c r="N22" i="70" s="1"/>
  <c r="M16" i="70"/>
  <c r="N16" i="70" s="1"/>
  <c r="I14" i="70"/>
  <c r="H31" i="70"/>
  <c r="F82" i="118"/>
  <c r="F136" i="118" s="1"/>
  <c r="F136" i="70"/>
  <c r="F128" i="70"/>
  <c r="F74" i="118"/>
  <c r="F128" i="118" s="1"/>
  <c r="M20" i="70"/>
  <c r="N20" i="70" s="1"/>
  <c r="H10" i="55"/>
  <c r="F14" i="55"/>
  <c r="J77" i="70"/>
  <c r="K77" i="70"/>
  <c r="D136" i="118"/>
  <c r="H28" i="118"/>
  <c r="I28" i="118" s="1"/>
  <c r="H17" i="118"/>
  <c r="I17" i="118" s="1"/>
  <c r="D125" i="118"/>
  <c r="D85" i="118"/>
  <c r="F85" i="70"/>
  <c r="F125" i="70"/>
  <c r="F71" i="118"/>
  <c r="F125" i="118" s="1"/>
  <c r="F83" i="118"/>
  <c r="F137" i="118" s="1"/>
  <c r="F137" i="70"/>
  <c r="M29" i="70"/>
  <c r="N29" i="70" s="1"/>
  <c r="H27" i="118"/>
  <c r="I27" i="118" s="1"/>
  <c r="D135" i="118"/>
  <c r="R24" i="70"/>
  <c r="S24" i="70" s="1"/>
  <c r="R19" i="70"/>
  <c r="S19" i="70" s="1"/>
  <c r="H14" i="118"/>
  <c r="D122" i="118"/>
  <c r="D31" i="118"/>
  <c r="F138" i="70"/>
  <c r="F84" i="118"/>
  <c r="F138" i="118" s="1"/>
  <c r="H21" i="118"/>
  <c r="I21" i="118" s="1"/>
  <c r="D129" i="118"/>
  <c r="D123" i="118"/>
  <c r="H15" i="118"/>
  <c r="I15" i="118" s="1"/>
  <c r="E69" i="118"/>
  <c r="E123" i="118" s="1"/>
  <c r="E123" i="70"/>
  <c r="M26" i="70"/>
  <c r="N26" i="70" s="1"/>
  <c r="H18" i="118"/>
  <c r="I18" i="118" s="1"/>
  <c r="D126" i="118"/>
  <c r="F79" i="118"/>
  <c r="F133" i="118" s="1"/>
  <c r="F133" i="70"/>
  <c r="H71" i="70"/>
  <c r="I71" i="70" s="1"/>
  <c r="I125" i="70" s="1"/>
  <c r="E71" i="118"/>
  <c r="E125" i="118" s="1"/>
  <c r="E125" i="70"/>
  <c r="H125" i="70" s="1"/>
  <c r="F73" i="118"/>
  <c r="F127" i="118" s="1"/>
  <c r="F127" i="70"/>
  <c r="F122" i="118"/>
  <c r="F69" i="118"/>
  <c r="F123" i="118" s="1"/>
  <c r="F123" i="70"/>
  <c r="H29" i="118"/>
  <c r="I29" i="118" s="1"/>
  <c r="D137" i="118"/>
  <c r="H26" i="118"/>
  <c r="I26" i="118" s="1"/>
  <c r="D134" i="118"/>
  <c r="H24" i="118"/>
  <c r="I24" i="118" s="1"/>
  <c r="D132" i="118"/>
  <c r="M21" i="70"/>
  <c r="N21" i="70" s="1"/>
  <c r="M18" i="70"/>
  <c r="N18" i="70" s="1"/>
  <c r="H16" i="118"/>
  <c r="I16" i="118" s="1"/>
  <c r="D124" i="118"/>
  <c r="F124" i="70"/>
  <c r="F70" i="118"/>
  <c r="F124" i="118" s="1"/>
  <c r="H73" i="118" l="1"/>
  <c r="I73" i="118" s="1"/>
  <c r="F139" i="70"/>
  <c r="H78" i="118"/>
  <c r="I78" i="118" s="1"/>
  <c r="H69" i="118"/>
  <c r="I69" i="118" s="1"/>
  <c r="H125" i="118"/>
  <c r="H71" i="118"/>
  <c r="I71" i="118" s="1"/>
  <c r="R18" i="70"/>
  <c r="S18" i="70" s="1"/>
  <c r="H127" i="118"/>
  <c r="W24" i="70"/>
  <c r="D50" i="70" s="1"/>
  <c r="S24" i="118"/>
  <c r="K127" i="70"/>
  <c r="K73" i="118"/>
  <c r="K127" i="118" s="1"/>
  <c r="H127" i="70"/>
  <c r="R21" i="70"/>
  <c r="S21" i="70" s="1"/>
  <c r="H123" i="70"/>
  <c r="M28" i="118"/>
  <c r="N28" i="118" s="1"/>
  <c r="R20" i="70"/>
  <c r="S20" i="70" s="1"/>
  <c r="F27" i="61"/>
  <c r="D24" i="69"/>
  <c r="H131" i="70"/>
  <c r="J77" i="118"/>
  <c r="J131" i="118" s="1"/>
  <c r="J131" i="70"/>
  <c r="P73" i="70"/>
  <c r="O73" i="70"/>
  <c r="K78" i="118"/>
  <c r="K132" i="118" s="1"/>
  <c r="K132" i="70"/>
  <c r="M29" i="118"/>
  <c r="N29" i="118" s="1"/>
  <c r="H19" i="55"/>
  <c r="F40" i="55"/>
  <c r="M22" i="118"/>
  <c r="N22" i="118" s="1"/>
  <c r="R26" i="70"/>
  <c r="S26" i="70" s="1"/>
  <c r="I125" i="118"/>
  <c r="M17" i="118"/>
  <c r="N17" i="118" s="1"/>
  <c r="H132" i="118"/>
  <c r="J71" i="70"/>
  <c r="K71" i="70"/>
  <c r="M71" i="70" s="1"/>
  <c r="N71" i="70" s="1"/>
  <c r="M27" i="118"/>
  <c r="N27" i="118" s="1"/>
  <c r="I31" i="70"/>
  <c r="E23" i="69" s="1"/>
  <c r="M14" i="70"/>
  <c r="M30" i="118"/>
  <c r="N30" i="118" s="1"/>
  <c r="F16" i="54"/>
  <c r="M25" i="118"/>
  <c r="N25" i="118" s="1"/>
  <c r="R23" i="70"/>
  <c r="S23" i="70" s="1"/>
  <c r="R25" i="70"/>
  <c r="S25" i="70" s="1"/>
  <c r="R28" i="70"/>
  <c r="S28" i="70" s="1"/>
  <c r="O69" i="70"/>
  <c r="P69" i="70"/>
  <c r="M16" i="118"/>
  <c r="N16" i="118" s="1"/>
  <c r="M18" i="118"/>
  <c r="N18" i="118" s="1"/>
  <c r="M21" i="118"/>
  <c r="N21" i="118" s="1"/>
  <c r="W19" i="70"/>
  <c r="D45" i="70" s="1"/>
  <c r="S19" i="118"/>
  <c r="R22" i="70"/>
  <c r="S22" i="70" s="1"/>
  <c r="R17" i="70"/>
  <c r="S17" i="70" s="1"/>
  <c r="J127" i="70"/>
  <c r="J73" i="118"/>
  <c r="J127" i="118" s="1"/>
  <c r="I132" i="118"/>
  <c r="M24" i="118"/>
  <c r="N24" i="118" s="1"/>
  <c r="F85" i="118"/>
  <c r="M15" i="118"/>
  <c r="N15" i="118" s="1"/>
  <c r="I123" i="118"/>
  <c r="D139" i="118"/>
  <c r="H77" i="118"/>
  <c r="I77" i="118" s="1"/>
  <c r="I131" i="118" s="1"/>
  <c r="M77" i="70"/>
  <c r="N77" i="70" s="1"/>
  <c r="E21" i="55"/>
  <c r="K69" i="118"/>
  <c r="K123" i="118" s="1"/>
  <c r="K123" i="70"/>
  <c r="M26" i="118"/>
  <c r="N26" i="118" s="1"/>
  <c r="I127" i="118"/>
  <c r="M73" i="118"/>
  <c r="N73" i="118" s="1"/>
  <c r="M78" i="118"/>
  <c r="N78" i="118" s="1"/>
  <c r="M23" i="118"/>
  <c r="N23" i="118" s="1"/>
  <c r="M78" i="70"/>
  <c r="N78" i="70" s="1"/>
  <c r="J132" i="70"/>
  <c r="M132" i="70" s="1"/>
  <c r="J78" i="118"/>
  <c r="J132" i="118" s="1"/>
  <c r="R15" i="70"/>
  <c r="S15" i="70" s="1"/>
  <c r="N123" i="70"/>
  <c r="R27" i="70"/>
  <c r="S27" i="70" s="1"/>
  <c r="R19" i="118"/>
  <c r="F139" i="118"/>
  <c r="H123" i="118"/>
  <c r="H31" i="118"/>
  <c r="I14" i="118"/>
  <c r="R29" i="70"/>
  <c r="S29" i="70" s="1"/>
  <c r="K77" i="118"/>
  <c r="K131" i="118" s="1"/>
  <c r="K131" i="70"/>
  <c r="R16" i="70"/>
  <c r="S16" i="70" s="1"/>
  <c r="H132" i="70"/>
  <c r="M20" i="118"/>
  <c r="N20" i="118" s="1"/>
  <c r="H131" i="118"/>
  <c r="R30" i="70"/>
  <c r="S30" i="70" s="1"/>
  <c r="J123" i="70"/>
  <c r="M123" i="70" s="1"/>
  <c r="J69" i="118"/>
  <c r="J123" i="118" s="1"/>
  <c r="R69" i="70" l="1"/>
  <c r="S69" i="70" s="1"/>
  <c r="M131" i="118"/>
  <c r="H13" i="55"/>
  <c r="H14" i="55" s="1"/>
  <c r="M127" i="118"/>
  <c r="I14" i="55"/>
  <c r="K10" i="55"/>
  <c r="S69" i="118"/>
  <c r="U69" i="70"/>
  <c r="T69" i="70"/>
  <c r="W30" i="70"/>
  <c r="D56" i="70" s="1"/>
  <c r="S30" i="118"/>
  <c r="O127" i="70"/>
  <c r="O73" i="118"/>
  <c r="O127" i="118" s="1"/>
  <c r="W29" i="70"/>
  <c r="D55" i="70" s="1"/>
  <c r="S29" i="118"/>
  <c r="F21" i="55"/>
  <c r="G24" i="58"/>
  <c r="R30" i="118"/>
  <c r="M77" i="118"/>
  <c r="N77" i="118" s="1"/>
  <c r="H45" i="70"/>
  <c r="I45" i="70" s="1"/>
  <c r="M45" i="70" s="1"/>
  <c r="N45" i="70" s="1"/>
  <c r="R45" i="70" s="1"/>
  <c r="S45" i="70" s="1"/>
  <c r="W45" i="70" s="1"/>
  <c r="W23" i="70"/>
  <c r="D49" i="70" s="1"/>
  <c r="S23" i="118"/>
  <c r="R22" i="118"/>
  <c r="M69" i="118"/>
  <c r="N69" i="118" s="1"/>
  <c r="N123" i="118" s="1"/>
  <c r="W28" i="70"/>
  <c r="D54" i="70" s="1"/>
  <c r="S28" i="118"/>
  <c r="O71" i="70"/>
  <c r="P71" i="70"/>
  <c r="S27" i="118"/>
  <c r="W27" i="70"/>
  <c r="D53" i="70" s="1"/>
  <c r="R20" i="118"/>
  <c r="O77" i="70"/>
  <c r="P77" i="70"/>
  <c r="R16" i="118"/>
  <c r="H50" i="70"/>
  <c r="I50" i="70" s="1"/>
  <c r="M50" i="70" s="1"/>
  <c r="N50" i="70" s="1"/>
  <c r="R50" i="70" s="1"/>
  <c r="S50" i="70" s="1"/>
  <c r="W50" i="70" s="1"/>
  <c r="S123" i="70"/>
  <c r="W15" i="70"/>
  <c r="D41" i="70" s="1"/>
  <c r="S15" i="118"/>
  <c r="M132" i="118"/>
  <c r="M127" i="70"/>
  <c r="P123" i="70"/>
  <c r="P69" i="118"/>
  <c r="P123" i="118" s="1"/>
  <c r="M31" i="70"/>
  <c r="N14" i="70"/>
  <c r="S21" i="118"/>
  <c r="W21" i="70"/>
  <c r="D47" i="70" s="1"/>
  <c r="R15" i="118"/>
  <c r="W20" i="70"/>
  <c r="D46" i="70" s="1"/>
  <c r="S20" i="118"/>
  <c r="P73" i="118"/>
  <c r="P127" i="118" s="1"/>
  <c r="P127" i="70"/>
  <c r="R24" i="118"/>
  <c r="N132" i="118"/>
  <c r="K71" i="118"/>
  <c r="K125" i="118" s="1"/>
  <c r="K125" i="70"/>
  <c r="R28" i="118"/>
  <c r="J125" i="70"/>
  <c r="J71" i="118"/>
  <c r="R29" i="118"/>
  <c r="S16" i="118"/>
  <c r="W16" i="70"/>
  <c r="D42" i="70" s="1"/>
  <c r="N125" i="70"/>
  <c r="R21" i="118"/>
  <c r="R25" i="118"/>
  <c r="H27" i="61"/>
  <c r="E24" i="69"/>
  <c r="R17" i="118"/>
  <c r="S18" i="118"/>
  <c r="W18" i="70"/>
  <c r="D44" i="70" s="1"/>
  <c r="R18" i="118"/>
  <c r="R27" i="118"/>
  <c r="H20" i="55"/>
  <c r="I20" i="55" s="1"/>
  <c r="I13" i="55"/>
  <c r="F41" i="55"/>
  <c r="F42" i="55" s="1"/>
  <c r="R23" i="118"/>
  <c r="N131" i="118"/>
  <c r="S22" i="118"/>
  <c r="W22" i="70"/>
  <c r="D48" i="70" s="1"/>
  <c r="S26" i="118"/>
  <c r="W26" i="70"/>
  <c r="D52" i="70" s="1"/>
  <c r="W25" i="70"/>
  <c r="D51" i="70" s="1"/>
  <c r="S25" i="118"/>
  <c r="W24" i="118"/>
  <c r="D50" i="118" s="1"/>
  <c r="I31" i="118"/>
  <c r="M14" i="118"/>
  <c r="W19" i="118"/>
  <c r="D45" i="118" s="1"/>
  <c r="N131" i="70"/>
  <c r="O69" i="118"/>
  <c r="O123" i="118" s="1"/>
  <c r="O123" i="70"/>
  <c r="R123" i="70" s="1"/>
  <c r="M131" i="70"/>
  <c r="N127" i="118"/>
  <c r="O78" i="70"/>
  <c r="P78" i="70"/>
  <c r="R78" i="70"/>
  <c r="S78" i="70" s="1"/>
  <c r="N132" i="70"/>
  <c r="R26" i="118"/>
  <c r="M123" i="118"/>
  <c r="S17" i="118"/>
  <c r="W17" i="70"/>
  <c r="D43" i="70" s="1"/>
  <c r="I19" i="55"/>
  <c r="R73" i="70"/>
  <c r="S73" i="70" s="1"/>
  <c r="M125" i="70" l="1"/>
  <c r="R123" i="118"/>
  <c r="H41" i="70"/>
  <c r="I41" i="70" s="1"/>
  <c r="M41" i="70" s="1"/>
  <c r="N41" i="70" s="1"/>
  <c r="R41" i="70" s="1"/>
  <c r="S41" i="70" s="1"/>
  <c r="W41" i="70" s="1"/>
  <c r="W23" i="118"/>
  <c r="D49" i="118" s="1"/>
  <c r="N31" i="70"/>
  <c r="R14" i="70"/>
  <c r="H56" i="70"/>
  <c r="I56" i="70" s="1"/>
  <c r="M56" i="70" s="1"/>
  <c r="N56" i="70" s="1"/>
  <c r="R56" i="70" s="1"/>
  <c r="S56" i="70" s="1"/>
  <c r="W56" i="70" s="1"/>
  <c r="H21" i="55"/>
  <c r="H42" i="70"/>
  <c r="I42" i="70" s="1"/>
  <c r="M42" i="70" s="1"/>
  <c r="N42" i="70" s="1"/>
  <c r="R42" i="70" s="1"/>
  <c r="S42" i="70" s="1"/>
  <c r="W42" i="70" s="1"/>
  <c r="H46" i="70"/>
  <c r="I46" i="70" s="1"/>
  <c r="M46" i="70" s="1"/>
  <c r="N46" i="70" s="1"/>
  <c r="R46" i="70" s="1"/>
  <c r="S46" i="70" s="1"/>
  <c r="W46" i="70" s="1"/>
  <c r="H54" i="70"/>
  <c r="I54" i="70" s="1"/>
  <c r="M54" i="70" s="1"/>
  <c r="N54" i="70" s="1"/>
  <c r="R54" i="70" s="1"/>
  <c r="S54" i="70" s="1"/>
  <c r="W54" i="70" s="1"/>
  <c r="W16" i="118"/>
  <c r="D42" i="118" s="1"/>
  <c r="H53" i="70"/>
  <c r="I53" i="70" s="1"/>
  <c r="M53" i="70" s="1"/>
  <c r="N53" i="70" s="1"/>
  <c r="R53" i="70" s="1"/>
  <c r="S53" i="70" s="1"/>
  <c r="W53" i="70" s="1"/>
  <c r="R69" i="118"/>
  <c r="H55" i="70"/>
  <c r="I55" i="70" s="1"/>
  <c r="M55" i="70" s="1"/>
  <c r="N55" i="70" s="1"/>
  <c r="R55" i="70" s="1"/>
  <c r="S55" i="70" s="1"/>
  <c r="W55" i="70" s="1"/>
  <c r="U69" i="118"/>
  <c r="U123" i="118" s="1"/>
  <c r="U123" i="70"/>
  <c r="M31" i="118"/>
  <c r="N14" i="118"/>
  <c r="O125" i="70"/>
  <c r="O71" i="118"/>
  <c r="O125" i="118" s="1"/>
  <c r="T73" i="70"/>
  <c r="S73" i="118"/>
  <c r="U73" i="70"/>
  <c r="S127" i="70"/>
  <c r="H48" i="70"/>
  <c r="I48" i="70" s="1"/>
  <c r="M48" i="70" s="1"/>
  <c r="N48" i="70" s="1"/>
  <c r="R48" i="70" s="1"/>
  <c r="S48" i="70" s="1"/>
  <c r="W48" i="70" s="1"/>
  <c r="W29" i="118"/>
  <c r="D55" i="118" s="1"/>
  <c r="W25" i="118"/>
  <c r="D51" i="118" s="1"/>
  <c r="W27" i="118"/>
  <c r="D53" i="118" s="1"/>
  <c r="W18" i="118"/>
  <c r="D44" i="118" s="1"/>
  <c r="W21" i="118"/>
  <c r="D47" i="118" s="1"/>
  <c r="F24" i="58"/>
  <c r="H24" i="58" s="1"/>
  <c r="W28" i="118"/>
  <c r="D54" i="118" s="1"/>
  <c r="H50" i="118"/>
  <c r="I50" i="118" s="1"/>
  <c r="M50" i="118" s="1"/>
  <c r="N50" i="118" s="1"/>
  <c r="R50" i="118" s="1"/>
  <c r="S50" i="118" s="1"/>
  <c r="W50" i="118" s="1"/>
  <c r="W22" i="118"/>
  <c r="D48" i="118" s="1"/>
  <c r="H43" i="70"/>
  <c r="I43" i="70" s="1"/>
  <c r="M43" i="70" s="1"/>
  <c r="N43" i="70" s="1"/>
  <c r="R43" i="70" s="1"/>
  <c r="S43" i="70" s="1"/>
  <c r="W43" i="70" s="1"/>
  <c r="H45" i="118"/>
  <c r="I45" i="118" s="1"/>
  <c r="M45" i="118" s="1"/>
  <c r="N45" i="118" s="1"/>
  <c r="R45" i="118" s="1"/>
  <c r="S45" i="118" s="1"/>
  <c r="W45" i="118" s="1"/>
  <c r="H51" i="70"/>
  <c r="I51" i="70" s="1"/>
  <c r="M51" i="70" s="1"/>
  <c r="N51" i="70" s="1"/>
  <c r="R51" i="70" s="1"/>
  <c r="S51" i="70" s="1"/>
  <c r="W51" i="70" s="1"/>
  <c r="P131" i="70"/>
  <c r="P77" i="118"/>
  <c r="P131" i="118" s="1"/>
  <c r="R71" i="70"/>
  <c r="S71" i="70" s="1"/>
  <c r="R127" i="70"/>
  <c r="K13" i="55"/>
  <c r="K19" i="55"/>
  <c r="L10" i="55"/>
  <c r="H52" i="70"/>
  <c r="I52" i="70" s="1"/>
  <c r="M52" i="70" s="1"/>
  <c r="N52" i="70" s="1"/>
  <c r="R52" i="70" s="1"/>
  <c r="S52" i="70" s="1"/>
  <c r="W52" i="70" s="1"/>
  <c r="O131" i="70"/>
  <c r="R131" i="70" s="1"/>
  <c r="O77" i="118"/>
  <c r="O131" i="118" s="1"/>
  <c r="R131" i="118" s="1"/>
  <c r="W30" i="118"/>
  <c r="D56" i="118" s="1"/>
  <c r="W26" i="118"/>
  <c r="D52" i="118" s="1"/>
  <c r="H49" i="70"/>
  <c r="I49" i="70" s="1"/>
  <c r="M49" i="70" s="1"/>
  <c r="N49" i="70" s="1"/>
  <c r="R49" i="70" s="1"/>
  <c r="S49" i="70" s="1"/>
  <c r="W49" i="70" s="1"/>
  <c r="W20" i="118"/>
  <c r="D46" i="118" s="1"/>
  <c r="T69" i="118"/>
  <c r="T123" i="118" s="1"/>
  <c r="T123" i="70"/>
  <c r="W123" i="70" s="1"/>
  <c r="R73" i="118"/>
  <c r="W69" i="70"/>
  <c r="D96" i="70" s="1"/>
  <c r="U78" i="70"/>
  <c r="T78" i="70"/>
  <c r="W78" i="70" s="1"/>
  <c r="D105" i="70" s="1"/>
  <c r="S78" i="118"/>
  <c r="S132" i="70"/>
  <c r="P132" i="70"/>
  <c r="P78" i="118"/>
  <c r="P132" i="118" s="1"/>
  <c r="O78" i="118"/>
  <c r="O132" i="70"/>
  <c r="W17" i="118"/>
  <c r="D43" i="118" s="1"/>
  <c r="R127" i="118"/>
  <c r="H44" i="70"/>
  <c r="I44" i="70" s="1"/>
  <c r="M44" i="70" s="1"/>
  <c r="N44" i="70" s="1"/>
  <c r="R44" i="70" s="1"/>
  <c r="S44" i="70" s="1"/>
  <c r="W44" i="70" s="1"/>
  <c r="J125" i="118"/>
  <c r="M125" i="118" s="1"/>
  <c r="M71" i="118"/>
  <c r="N71" i="118" s="1"/>
  <c r="H47" i="70"/>
  <c r="I47" i="70" s="1"/>
  <c r="M47" i="70" s="1"/>
  <c r="N47" i="70" s="1"/>
  <c r="R47" i="70" s="1"/>
  <c r="S47" i="70" s="1"/>
  <c r="W47" i="70" s="1"/>
  <c r="W15" i="118"/>
  <c r="D41" i="118" s="1"/>
  <c r="S123" i="118"/>
  <c r="R77" i="70"/>
  <c r="S77" i="70" s="1"/>
  <c r="P71" i="118"/>
  <c r="P125" i="118" s="1"/>
  <c r="P125" i="70"/>
  <c r="W73" i="70" l="1"/>
  <c r="D100" i="70" s="1"/>
  <c r="R125" i="70"/>
  <c r="R132" i="70"/>
  <c r="F105" i="70"/>
  <c r="E105" i="70"/>
  <c r="H105" i="70" s="1"/>
  <c r="I105" i="70" s="1"/>
  <c r="D158" i="70"/>
  <c r="H41" i="118"/>
  <c r="I41" i="118" s="1"/>
  <c r="M41" i="118" s="1"/>
  <c r="N41" i="118" s="1"/>
  <c r="R41" i="118" s="1"/>
  <c r="S41" i="118" s="1"/>
  <c r="W41" i="118" s="1"/>
  <c r="H56" i="118"/>
  <c r="I56" i="118" s="1"/>
  <c r="M56" i="118" s="1"/>
  <c r="N56" i="118" s="1"/>
  <c r="R56" i="118" s="1"/>
  <c r="S56" i="118" s="1"/>
  <c r="W56" i="118" s="1"/>
  <c r="H44" i="118"/>
  <c r="I44" i="118" s="1"/>
  <c r="M44" i="118" s="1"/>
  <c r="N44" i="118" s="1"/>
  <c r="R44" i="118" s="1"/>
  <c r="S44" i="118" s="1"/>
  <c r="W44" i="118" s="1"/>
  <c r="F100" i="70"/>
  <c r="E100" i="70"/>
  <c r="H100" i="70" s="1"/>
  <c r="I100" i="70" s="1"/>
  <c r="D153" i="70"/>
  <c r="W123" i="118"/>
  <c r="S132" i="118"/>
  <c r="H46" i="118"/>
  <c r="I46" i="118" s="1"/>
  <c r="M46" i="118" s="1"/>
  <c r="N46" i="118" s="1"/>
  <c r="R46" i="118" s="1"/>
  <c r="S46" i="118" s="1"/>
  <c r="W46" i="118" s="1"/>
  <c r="U71" i="70"/>
  <c r="T71" i="70"/>
  <c r="S71" i="118"/>
  <c r="W71" i="70"/>
  <c r="D98" i="70" s="1"/>
  <c r="S125" i="70"/>
  <c r="R31" i="70"/>
  <c r="S14" i="70"/>
  <c r="H43" i="118"/>
  <c r="I43" i="118" s="1"/>
  <c r="M43" i="118" s="1"/>
  <c r="N43" i="118" s="1"/>
  <c r="R43" i="118" s="1"/>
  <c r="S43" i="118" s="1"/>
  <c r="W43" i="118" s="1"/>
  <c r="H53" i="118"/>
  <c r="I53" i="118" s="1"/>
  <c r="M53" i="118" s="1"/>
  <c r="N53" i="118" s="1"/>
  <c r="R53" i="118" s="1"/>
  <c r="S53" i="118" s="1"/>
  <c r="W53" i="118" s="1"/>
  <c r="R14" i="118"/>
  <c r="R31" i="118" s="1"/>
  <c r="N31" i="118"/>
  <c r="G23" i="69"/>
  <c r="G24" i="69" s="1"/>
  <c r="F23" i="69"/>
  <c r="U132" i="70"/>
  <c r="U78" i="118"/>
  <c r="U132" i="118" s="1"/>
  <c r="R71" i="118"/>
  <c r="N125" i="118"/>
  <c r="R125" i="118" s="1"/>
  <c r="O132" i="118"/>
  <c r="R132" i="118" s="1"/>
  <c r="R78" i="118"/>
  <c r="F96" i="70"/>
  <c r="E96" i="70"/>
  <c r="H48" i="118"/>
  <c r="I48" i="118" s="1"/>
  <c r="M48" i="118" s="1"/>
  <c r="N48" i="118" s="1"/>
  <c r="R48" i="118" s="1"/>
  <c r="S48" i="118" s="1"/>
  <c r="W48" i="118" s="1"/>
  <c r="U127" i="70"/>
  <c r="U73" i="118"/>
  <c r="U127" i="118" s="1"/>
  <c r="H49" i="118"/>
  <c r="I49" i="118" s="1"/>
  <c r="M49" i="118" s="1"/>
  <c r="N49" i="118" s="1"/>
  <c r="R49" i="118" s="1"/>
  <c r="S49" i="118" s="1"/>
  <c r="W49" i="118" s="1"/>
  <c r="T77" i="70"/>
  <c r="S77" i="118"/>
  <c r="U77" i="70"/>
  <c r="S131" i="70"/>
  <c r="K20" i="55"/>
  <c r="L20" i="55" s="1"/>
  <c r="L13" i="55"/>
  <c r="H55" i="118"/>
  <c r="I55" i="118" s="1"/>
  <c r="M55" i="118" s="1"/>
  <c r="N55" i="118" s="1"/>
  <c r="R55" i="118" s="1"/>
  <c r="S55" i="118" s="1"/>
  <c r="W55" i="118" s="1"/>
  <c r="W69" i="118"/>
  <c r="D96" i="118" s="1"/>
  <c r="D149" i="118" s="1"/>
  <c r="H52" i="118"/>
  <c r="I52" i="118" s="1"/>
  <c r="M52" i="118" s="1"/>
  <c r="N52" i="118" s="1"/>
  <c r="R52" i="118" s="1"/>
  <c r="S52" i="118" s="1"/>
  <c r="W52" i="118" s="1"/>
  <c r="K14" i="55"/>
  <c r="H47" i="118"/>
  <c r="I47" i="118" s="1"/>
  <c r="M47" i="118" s="1"/>
  <c r="N47" i="118" s="1"/>
  <c r="R47" i="118" s="1"/>
  <c r="S47" i="118" s="1"/>
  <c r="W47" i="118" s="1"/>
  <c r="H51" i="118"/>
  <c r="I51" i="118" s="1"/>
  <c r="M51" i="118" s="1"/>
  <c r="N51" i="118" s="1"/>
  <c r="R51" i="118" s="1"/>
  <c r="S51" i="118" s="1"/>
  <c r="W51" i="118" s="1"/>
  <c r="S127" i="118"/>
  <c r="H42" i="118"/>
  <c r="I42" i="118" s="1"/>
  <c r="M42" i="118" s="1"/>
  <c r="N42" i="118" s="1"/>
  <c r="R42" i="118" s="1"/>
  <c r="S42" i="118" s="1"/>
  <c r="W42" i="118" s="1"/>
  <c r="I21" i="55"/>
  <c r="K24" i="58"/>
  <c r="D149" i="70"/>
  <c r="H54" i="118"/>
  <c r="I54" i="118" s="1"/>
  <c r="M54" i="118" s="1"/>
  <c r="N54" i="118" s="1"/>
  <c r="R54" i="118" s="1"/>
  <c r="S54" i="118" s="1"/>
  <c r="W54" i="118" s="1"/>
  <c r="R77" i="118"/>
  <c r="T132" i="70"/>
  <c r="T78" i="118"/>
  <c r="T132" i="118" s="1"/>
  <c r="L19" i="55"/>
  <c r="K21" i="55"/>
  <c r="T127" i="70"/>
  <c r="T73" i="118"/>
  <c r="T127" i="118" s="1"/>
  <c r="H96" i="70" l="1"/>
  <c r="I96" i="70" s="1"/>
  <c r="W77" i="70"/>
  <c r="D104" i="70" s="1"/>
  <c r="H104" i="70" s="1"/>
  <c r="I104" i="70" s="1"/>
  <c r="W127" i="118"/>
  <c r="W132" i="70"/>
  <c r="W73" i="118"/>
  <c r="D100" i="118" s="1"/>
  <c r="W127" i="70"/>
  <c r="E104" i="70"/>
  <c r="F104" i="70"/>
  <c r="D157" i="70"/>
  <c r="T77" i="118"/>
  <c r="T131" i="118" s="1"/>
  <c r="T131" i="70"/>
  <c r="E96" i="118"/>
  <c r="E149" i="118" s="1"/>
  <c r="E149" i="70"/>
  <c r="H23" i="69"/>
  <c r="F24" i="69"/>
  <c r="F153" i="70"/>
  <c r="F100" i="118"/>
  <c r="F153" i="118" s="1"/>
  <c r="E98" i="70"/>
  <c r="F98" i="70"/>
  <c r="D151" i="70"/>
  <c r="E100" i="118"/>
  <c r="E153" i="118" s="1"/>
  <c r="E153" i="70"/>
  <c r="F149" i="70"/>
  <c r="H149" i="70" s="1"/>
  <c r="I149" i="70" s="1"/>
  <c r="M149" i="70" s="1"/>
  <c r="N149" i="70" s="1"/>
  <c r="R149" i="70" s="1"/>
  <c r="S149" i="70" s="1"/>
  <c r="W149" i="70" s="1"/>
  <c r="F96" i="118"/>
  <c r="F149" i="118" s="1"/>
  <c r="W14" i="70"/>
  <c r="S14" i="118"/>
  <c r="S31" i="70"/>
  <c r="K105" i="70"/>
  <c r="K105" i="118" s="1"/>
  <c r="J105" i="70"/>
  <c r="J105" i="118" s="1"/>
  <c r="M105" i="70"/>
  <c r="N105" i="70" s="1"/>
  <c r="U77" i="118"/>
  <c r="U131" i="118" s="1"/>
  <c r="U131" i="70"/>
  <c r="T71" i="118"/>
  <c r="T125" i="118" s="1"/>
  <c r="T125" i="70"/>
  <c r="D153" i="118"/>
  <c r="J96" i="70"/>
  <c r="J96" i="118" s="1"/>
  <c r="K96" i="70"/>
  <c r="K96" i="118" s="1"/>
  <c r="M96" i="70"/>
  <c r="N96" i="70" s="1"/>
  <c r="O24" i="58"/>
  <c r="P24" i="58" s="1"/>
  <c r="Q24" i="58" s="1"/>
  <c r="L21" i="55"/>
  <c r="J24" i="58"/>
  <c r="L24" i="58" s="1"/>
  <c r="W132" i="118"/>
  <c r="E158" i="70"/>
  <c r="E105" i="118"/>
  <c r="E158" i="118" s="1"/>
  <c r="D54" i="55"/>
  <c r="L14" i="55"/>
  <c r="S125" i="118"/>
  <c r="J100" i="70"/>
  <c r="J100" i="118" s="1"/>
  <c r="K100" i="70"/>
  <c r="K100" i="118" s="1"/>
  <c r="S131" i="118"/>
  <c r="U125" i="70"/>
  <c r="U71" i="118"/>
  <c r="U125" i="118" s="1"/>
  <c r="W78" i="118"/>
  <c r="D105" i="118" s="1"/>
  <c r="F158" i="70"/>
  <c r="F105" i="118"/>
  <c r="F158" i="118" s="1"/>
  <c r="H149" i="118" l="1"/>
  <c r="I149" i="118" s="1"/>
  <c r="M149" i="118" s="1"/>
  <c r="N149" i="118" s="1"/>
  <c r="R149" i="118" s="1"/>
  <c r="S149" i="118" s="1"/>
  <c r="W149" i="118" s="1"/>
  <c r="W125" i="118"/>
  <c r="H158" i="70"/>
  <c r="I158" i="70" s="1"/>
  <c r="M158" i="70" s="1"/>
  <c r="N158" i="70" s="1"/>
  <c r="R158" i="70" s="1"/>
  <c r="S158" i="70" s="1"/>
  <c r="W158" i="70" s="1"/>
  <c r="M100" i="70"/>
  <c r="N100" i="70" s="1"/>
  <c r="W131" i="70"/>
  <c r="O100" i="70"/>
  <c r="O100" i="118" s="1"/>
  <c r="P100" i="70"/>
  <c r="P100" i="118" s="1"/>
  <c r="O105" i="70"/>
  <c r="O105" i="118" s="1"/>
  <c r="P105" i="70"/>
  <c r="P105" i="118" s="1"/>
  <c r="H105" i="118"/>
  <c r="I105" i="118" s="1"/>
  <c r="M105" i="118" s="1"/>
  <c r="N105" i="118" s="1"/>
  <c r="D158" i="118"/>
  <c r="H158" i="118" s="1"/>
  <c r="I158" i="118" s="1"/>
  <c r="M158" i="118" s="1"/>
  <c r="N158" i="118" s="1"/>
  <c r="R158" i="118" s="1"/>
  <c r="S158" i="118" s="1"/>
  <c r="W158" i="118" s="1"/>
  <c r="H153" i="118"/>
  <c r="I153" i="118" s="1"/>
  <c r="M153" i="118" s="1"/>
  <c r="N153" i="118" s="1"/>
  <c r="R153" i="118" s="1"/>
  <c r="S153" i="118" s="1"/>
  <c r="W153" i="118" s="1"/>
  <c r="H100" i="118"/>
  <c r="I100" i="118" s="1"/>
  <c r="M100" i="118" s="1"/>
  <c r="N100" i="118" s="1"/>
  <c r="H153" i="70"/>
  <c r="I153" i="70" s="1"/>
  <c r="M153" i="70" s="1"/>
  <c r="N153" i="70" s="1"/>
  <c r="R153" i="70" s="1"/>
  <c r="S153" i="70" s="1"/>
  <c r="W153" i="70" s="1"/>
  <c r="J104" i="70"/>
  <c r="J104" i="118" s="1"/>
  <c r="K104" i="70"/>
  <c r="K104" i="118" s="1"/>
  <c r="O96" i="70"/>
  <c r="O96" i="118" s="1"/>
  <c r="P96" i="70"/>
  <c r="P96" i="118" s="1"/>
  <c r="H96" i="118"/>
  <c r="I96" i="118" s="1"/>
  <c r="M96" i="118" s="1"/>
  <c r="N96" i="118" s="1"/>
  <c r="W125" i="70"/>
  <c r="J27" i="61"/>
  <c r="H24" i="69"/>
  <c r="F157" i="70"/>
  <c r="F104" i="118"/>
  <c r="F157" i="118" s="1"/>
  <c r="D40" i="70"/>
  <c r="W31" i="70"/>
  <c r="W71" i="118"/>
  <c r="D98" i="118" s="1"/>
  <c r="W131" i="118"/>
  <c r="D57" i="55"/>
  <c r="D58" i="55" s="1"/>
  <c r="E54" i="55" s="1"/>
  <c r="D63" i="55"/>
  <c r="D65" i="55" s="1"/>
  <c r="S24" i="58" s="1"/>
  <c r="E104" i="118"/>
  <c r="E157" i="118" s="1"/>
  <c r="E157" i="70"/>
  <c r="H157" i="70" s="1"/>
  <c r="I157" i="70" s="1"/>
  <c r="M157" i="70" s="1"/>
  <c r="N157" i="70" s="1"/>
  <c r="R157" i="70" s="1"/>
  <c r="S157" i="70" s="1"/>
  <c r="W157" i="70" s="1"/>
  <c r="H98" i="70"/>
  <c r="I98" i="70" s="1"/>
  <c r="E98" i="118"/>
  <c r="E151" i="118" s="1"/>
  <c r="E151" i="70"/>
  <c r="W77" i="118"/>
  <c r="D104" i="118" s="1"/>
  <c r="N24" i="58"/>
  <c r="R24" i="58" s="1"/>
  <c r="S31" i="118"/>
  <c r="I23" i="69" s="1"/>
  <c r="W14" i="118"/>
  <c r="F151" i="70"/>
  <c r="F98" i="118"/>
  <c r="F151" i="118" s="1"/>
  <c r="H151" i="70" l="1"/>
  <c r="I151" i="70" s="1"/>
  <c r="M151" i="70" s="1"/>
  <c r="N151" i="70" s="1"/>
  <c r="R151" i="70" s="1"/>
  <c r="S151" i="70" s="1"/>
  <c r="W151" i="70" s="1"/>
  <c r="R100" i="70"/>
  <c r="S100" i="70" s="1"/>
  <c r="M104" i="70"/>
  <c r="N104" i="70" s="1"/>
  <c r="R105" i="70"/>
  <c r="S105" i="70" s="1"/>
  <c r="T105" i="70" s="1"/>
  <c r="T105" i="118" s="1"/>
  <c r="R96" i="70"/>
  <c r="S96" i="70" s="1"/>
  <c r="T96" i="70" s="1"/>
  <c r="T96" i="118" s="1"/>
  <c r="P104" i="70"/>
  <c r="P104" i="118" s="1"/>
  <c r="O104" i="70"/>
  <c r="O104" i="118" s="1"/>
  <c r="R105" i="118"/>
  <c r="S105" i="118" s="1"/>
  <c r="H40" i="70"/>
  <c r="D57" i="70"/>
  <c r="E57" i="55" s="1"/>
  <c r="E58" i="55" s="1"/>
  <c r="F54" i="55" s="1"/>
  <c r="F63" i="55" s="1"/>
  <c r="F65" i="55" s="1"/>
  <c r="U24" i="58" s="1"/>
  <c r="H104" i="118"/>
  <c r="I104" i="118" s="1"/>
  <c r="M104" i="118" s="1"/>
  <c r="N104" i="118" s="1"/>
  <c r="D157" i="118"/>
  <c r="H157" i="118" s="1"/>
  <c r="I157" i="118" s="1"/>
  <c r="M157" i="118" s="1"/>
  <c r="N157" i="118" s="1"/>
  <c r="R157" i="118" s="1"/>
  <c r="S157" i="118" s="1"/>
  <c r="W157" i="118" s="1"/>
  <c r="U100" i="70"/>
  <c r="U100" i="118" s="1"/>
  <c r="T100" i="70"/>
  <c r="T100" i="118" s="1"/>
  <c r="E63" i="55"/>
  <c r="E65" i="55" s="1"/>
  <c r="T24" i="58" s="1"/>
  <c r="W31" i="118"/>
  <c r="D40" i="118"/>
  <c r="K98" i="70"/>
  <c r="K98" i="118" s="1"/>
  <c r="J98" i="70"/>
  <c r="J98" i="118" s="1"/>
  <c r="R96" i="118"/>
  <c r="S96" i="118" s="1"/>
  <c r="H98" i="118"/>
  <c r="I98" i="118" s="1"/>
  <c r="D151" i="118"/>
  <c r="H151" i="118" s="1"/>
  <c r="I151" i="118" s="1"/>
  <c r="M151" i="118" s="1"/>
  <c r="N151" i="118" s="1"/>
  <c r="R151" i="118" s="1"/>
  <c r="S151" i="118" s="1"/>
  <c r="W151" i="118" s="1"/>
  <c r="E66" i="61"/>
  <c r="I24" i="69"/>
  <c r="R100" i="118"/>
  <c r="S100" i="118" s="1"/>
  <c r="U105" i="70" l="1"/>
  <c r="U105" i="118" s="1"/>
  <c r="W105" i="118" s="1"/>
  <c r="R104" i="70"/>
  <c r="S104" i="70" s="1"/>
  <c r="U96" i="70"/>
  <c r="U96" i="118" s="1"/>
  <c r="H57" i="70"/>
  <c r="I40" i="70"/>
  <c r="W100" i="118"/>
  <c r="M98" i="118"/>
  <c r="N98" i="118" s="1"/>
  <c r="W100" i="70"/>
  <c r="R104" i="118"/>
  <c r="S104" i="118" s="1"/>
  <c r="D57" i="118"/>
  <c r="J23" i="69" s="1"/>
  <c r="H40" i="118"/>
  <c r="U104" i="70"/>
  <c r="U104" i="118" s="1"/>
  <c r="T104" i="70"/>
  <c r="T104" i="118" s="1"/>
  <c r="W96" i="118"/>
  <c r="W96" i="70"/>
  <c r="M98" i="70"/>
  <c r="N98" i="70" s="1"/>
  <c r="W105" i="70" l="1"/>
  <c r="P98" i="70"/>
  <c r="P98" i="118" s="1"/>
  <c r="O98" i="70"/>
  <c r="O98" i="118" s="1"/>
  <c r="R98" i="118" s="1"/>
  <c r="S98" i="118" s="1"/>
  <c r="J24" i="69"/>
  <c r="F66" i="61"/>
  <c r="W104" i="118"/>
  <c r="I57" i="70"/>
  <c r="F57" i="55" s="1"/>
  <c r="F58" i="55" s="1"/>
  <c r="G54" i="55" s="1"/>
  <c r="G63" i="55" s="1"/>
  <c r="G65" i="55" s="1"/>
  <c r="V24" i="58" s="1"/>
  <c r="M40" i="70"/>
  <c r="H57" i="118"/>
  <c r="I40" i="118"/>
  <c r="W104" i="70"/>
  <c r="R98" i="70" l="1"/>
  <c r="S98" i="70" s="1"/>
  <c r="N40" i="70"/>
  <c r="M57" i="70"/>
  <c r="T98" i="70"/>
  <c r="T98" i="118" s="1"/>
  <c r="U98" i="70"/>
  <c r="U98" i="118" s="1"/>
  <c r="M40" i="118"/>
  <c r="I57" i="118"/>
  <c r="K23" i="69" s="1"/>
  <c r="K24" i="69" l="1"/>
  <c r="G66" i="61"/>
  <c r="M57" i="118"/>
  <c r="N40" i="118"/>
  <c r="W98" i="118"/>
  <c r="W98" i="70"/>
  <c r="R40" i="70"/>
  <c r="N57" i="70"/>
  <c r="G57" i="55" s="1"/>
  <c r="G58" i="55" s="1"/>
  <c r="H54" i="55" s="1"/>
  <c r="H63" i="55" s="1"/>
  <c r="H65" i="55" s="1"/>
  <c r="W24" i="58" s="1"/>
  <c r="S40" i="70" l="1"/>
  <c r="R57" i="70"/>
  <c r="R40" i="118"/>
  <c r="N57" i="118"/>
  <c r="L23" i="69" s="1"/>
  <c r="L24" i="69" l="1"/>
  <c r="H66" i="61"/>
  <c r="S40" i="118"/>
  <c r="R57" i="118"/>
  <c r="S57" i="70"/>
  <c r="H57" i="55" s="1"/>
  <c r="H58" i="55" s="1"/>
  <c r="W40" i="70"/>
  <c r="W57" i="70" s="1"/>
  <c r="S57" i="118" l="1"/>
  <c r="M23" i="69" s="1"/>
  <c r="W40" i="118"/>
  <c r="W57" i="118" s="1"/>
  <c r="M24" i="69" l="1"/>
  <c r="I66" i="61"/>
  <c r="J10" i="65" l="1"/>
  <c r="J17" i="65"/>
  <c r="L11" i="65"/>
  <c r="L17" i="65" s="1"/>
  <c r="F17" i="65"/>
  <c r="H11" i="65"/>
  <c r="H17" i="65" s="1"/>
  <c r="F10" i="65"/>
  <c r="D40" i="78" l="1"/>
  <c r="J13" i="58"/>
  <c r="H10" i="65"/>
  <c r="D11" i="78"/>
  <c r="F13" i="58"/>
  <c r="L10" i="65"/>
  <c r="R11" i="65" l="1"/>
  <c r="R17" i="65" s="1"/>
  <c r="N17" i="65"/>
  <c r="N13" i="58" s="1"/>
  <c r="N10" i="65"/>
  <c r="H13" i="58"/>
  <c r="F26" i="61"/>
  <c r="F11" i="78"/>
  <c r="G11" i="78"/>
  <c r="H11" i="78" s="1"/>
  <c r="G15" i="66" s="1"/>
  <c r="I15" i="66" s="1"/>
  <c r="G10" i="66"/>
  <c r="L13" i="58"/>
  <c r="H26" i="61"/>
  <c r="G40" i="78"/>
  <c r="H40" i="78" s="1"/>
  <c r="H15" i="66" s="1"/>
  <c r="H10" i="66"/>
  <c r="H14" i="66" s="1"/>
  <c r="F40" i="78"/>
  <c r="H16" i="66" l="1"/>
  <c r="L40" i="78"/>
  <c r="L11" i="78"/>
  <c r="R13" i="58"/>
  <c r="J26" i="61"/>
  <c r="G14" i="66"/>
  <c r="G16" i="66" s="1"/>
  <c r="I16" i="66" s="1"/>
  <c r="J10" i="66" s="1"/>
  <c r="I10" i="66"/>
  <c r="I14" i="66" s="1"/>
  <c r="K10" i="66" l="1"/>
  <c r="J14" i="66"/>
  <c r="J16" i="66" s="1"/>
  <c r="L10" i="66" l="1"/>
  <c r="L14" i="66" s="1"/>
  <c r="L16" i="66" s="1"/>
  <c r="S11" i="65"/>
  <c r="M10" i="66"/>
  <c r="K14" i="66"/>
  <c r="K16" i="66" s="1"/>
  <c r="S10" i="65" l="1"/>
  <c r="S17" i="65"/>
  <c r="S13" i="58" s="1"/>
  <c r="O10" i="65"/>
  <c r="N10" i="66"/>
  <c r="N14" i="66" s="1"/>
  <c r="N16" i="66" s="1"/>
  <c r="M14" i="66"/>
  <c r="M16" i="66" s="1"/>
  <c r="T11" i="65"/>
  <c r="O10" i="66"/>
  <c r="P10" i="65"/>
  <c r="Q10" i="66" l="1"/>
  <c r="U11" i="65"/>
  <c r="P10" i="66"/>
  <c r="P14" i="66" s="1"/>
  <c r="P16" i="66" s="1"/>
  <c r="O14" i="66"/>
  <c r="O16" i="66" s="1"/>
  <c r="T17" i="65"/>
  <c r="T13" i="58" s="1"/>
  <c r="T10" i="65"/>
  <c r="Q10" i="65"/>
  <c r="R10" i="65" s="1"/>
  <c r="E65" i="61"/>
  <c r="F65" i="61" l="1"/>
  <c r="U10" i="65"/>
  <c r="U17" i="65"/>
  <c r="U13" i="58" s="1"/>
  <c r="V11" i="65"/>
  <c r="R10" i="66"/>
  <c r="R14" i="66" s="1"/>
  <c r="R16" i="66" s="1"/>
  <c r="Q14" i="66"/>
  <c r="Q16" i="66" s="1"/>
  <c r="S10" i="66"/>
  <c r="S14" i="66" l="1"/>
  <c r="S16" i="66" s="1"/>
  <c r="T10" i="66"/>
  <c r="T14" i="66" s="1"/>
  <c r="T16" i="66" s="1"/>
  <c r="W11" i="65"/>
  <c r="G65" i="61"/>
  <c r="V17" i="65"/>
  <c r="V13" i="58" s="1"/>
  <c r="V10" i="65"/>
  <c r="H65" i="61" l="1"/>
  <c r="W17" i="65"/>
  <c r="W13" i="58" s="1"/>
  <c r="W10" i="65"/>
  <c r="I65" i="61" l="1"/>
  <c r="E83" i="70" l="1"/>
  <c r="E82" i="70"/>
  <c r="E75" i="70"/>
  <c r="E74" i="70"/>
  <c r="E84" i="70"/>
  <c r="E70" i="70"/>
  <c r="E80" i="70"/>
  <c r="E72" i="70"/>
  <c r="E68" i="70"/>
  <c r="E76" i="70"/>
  <c r="E79" i="70"/>
  <c r="E81" i="70"/>
  <c r="E80" i="118" l="1"/>
  <c r="E134" i="70"/>
  <c r="H134" i="70" s="1"/>
  <c r="H80" i="70"/>
  <c r="I80" i="70" s="1"/>
  <c r="E79" i="118"/>
  <c r="E133" i="70"/>
  <c r="H133" i="70" s="1"/>
  <c r="H79" i="70"/>
  <c r="I79" i="70" s="1"/>
  <c r="E76" i="118"/>
  <c r="E130" i="70"/>
  <c r="H130" i="70" s="1"/>
  <c r="H76" i="70"/>
  <c r="I76" i="70" s="1"/>
  <c r="E82" i="118"/>
  <c r="E136" i="70"/>
  <c r="H136" i="70" s="1"/>
  <c r="H82" i="70"/>
  <c r="I82" i="70" s="1"/>
  <c r="E138" i="70"/>
  <c r="H138" i="70" s="1"/>
  <c r="E84" i="118"/>
  <c r="H84" i="70"/>
  <c r="I84" i="70" s="1"/>
  <c r="E70" i="118"/>
  <c r="E124" i="70"/>
  <c r="H124" i="70" s="1"/>
  <c r="H70" i="70"/>
  <c r="I70" i="70" s="1"/>
  <c r="E75" i="118"/>
  <c r="E129" i="70"/>
  <c r="H129" i="70" s="1"/>
  <c r="H75" i="70"/>
  <c r="I75" i="70" s="1"/>
  <c r="E72" i="118"/>
  <c r="E126" i="70"/>
  <c r="H126" i="70" s="1"/>
  <c r="H72" i="70"/>
  <c r="I72" i="70" s="1"/>
  <c r="E81" i="118"/>
  <c r="E135" i="70"/>
  <c r="H135" i="70" s="1"/>
  <c r="H81" i="70"/>
  <c r="I81" i="70" s="1"/>
  <c r="E85" i="70"/>
  <c r="E122" i="70"/>
  <c r="E68" i="118"/>
  <c r="H68" i="70"/>
  <c r="E74" i="118"/>
  <c r="E128" i="70"/>
  <c r="H128" i="70" s="1"/>
  <c r="H74" i="70"/>
  <c r="I74" i="70" s="1"/>
  <c r="E83" i="118"/>
  <c r="E137" i="70"/>
  <c r="H137" i="70" s="1"/>
  <c r="H83" i="70"/>
  <c r="I83" i="70" s="1"/>
  <c r="H85" i="70" l="1"/>
  <c r="I68" i="70"/>
  <c r="K79" i="70"/>
  <c r="J79" i="70"/>
  <c r="I133" i="70"/>
  <c r="J83" i="70"/>
  <c r="K83" i="70"/>
  <c r="I137" i="70"/>
  <c r="J75" i="70"/>
  <c r="K75" i="70"/>
  <c r="M75" i="70"/>
  <c r="N75" i="70" s="1"/>
  <c r="I129" i="70"/>
  <c r="F86" i="70"/>
  <c r="E18" i="54"/>
  <c r="K82" i="70"/>
  <c r="J82" i="70"/>
  <c r="I136" i="70"/>
  <c r="E133" i="118"/>
  <c r="H133" i="118" s="1"/>
  <c r="H79" i="118"/>
  <c r="I79" i="118" s="1"/>
  <c r="K72" i="70"/>
  <c r="J72" i="70"/>
  <c r="I126" i="70"/>
  <c r="E130" i="118"/>
  <c r="H130" i="118" s="1"/>
  <c r="H76" i="118"/>
  <c r="I76" i="118" s="1"/>
  <c r="E126" i="118"/>
  <c r="H126" i="118" s="1"/>
  <c r="H72" i="118"/>
  <c r="I72" i="118" s="1"/>
  <c r="E139" i="70"/>
  <c r="H122" i="70"/>
  <c r="H139" i="70" s="1"/>
  <c r="E137" i="118"/>
  <c r="H137" i="118" s="1"/>
  <c r="H83" i="118"/>
  <c r="I83" i="118" s="1"/>
  <c r="J81" i="70"/>
  <c r="K81" i="70"/>
  <c r="I135" i="70"/>
  <c r="E129" i="118"/>
  <c r="H129" i="118" s="1"/>
  <c r="H75" i="118"/>
  <c r="I75" i="118" s="1"/>
  <c r="K80" i="70"/>
  <c r="J80" i="70"/>
  <c r="I134" i="70"/>
  <c r="K84" i="70"/>
  <c r="J84" i="70"/>
  <c r="M84" i="70" s="1"/>
  <c r="N84" i="70" s="1"/>
  <c r="I138" i="70"/>
  <c r="E122" i="118"/>
  <c r="E85" i="118"/>
  <c r="H68" i="118"/>
  <c r="E138" i="118"/>
  <c r="H138" i="118" s="1"/>
  <c r="H84" i="118"/>
  <c r="I84" i="118" s="1"/>
  <c r="K74" i="70"/>
  <c r="J74" i="70"/>
  <c r="M74" i="70" s="1"/>
  <c r="N74" i="70" s="1"/>
  <c r="I128" i="70"/>
  <c r="K70" i="70"/>
  <c r="J70" i="70"/>
  <c r="I124" i="70"/>
  <c r="E136" i="118"/>
  <c r="H136" i="118" s="1"/>
  <c r="H82" i="118"/>
  <c r="I82" i="118" s="1"/>
  <c r="E128" i="118"/>
  <c r="H128" i="118" s="1"/>
  <c r="H74" i="118"/>
  <c r="I74" i="118" s="1"/>
  <c r="E124" i="118"/>
  <c r="H124" i="118" s="1"/>
  <c r="H70" i="118"/>
  <c r="I70" i="118" s="1"/>
  <c r="E135" i="118"/>
  <c r="H135" i="118" s="1"/>
  <c r="H81" i="118"/>
  <c r="I81" i="118" s="1"/>
  <c r="K76" i="70"/>
  <c r="J76" i="70"/>
  <c r="M76" i="70" s="1"/>
  <c r="N76" i="70" s="1"/>
  <c r="I130" i="70"/>
  <c r="E134" i="118"/>
  <c r="H134" i="118" s="1"/>
  <c r="H80" i="118"/>
  <c r="I80" i="118" s="1"/>
  <c r="M80" i="70" l="1"/>
  <c r="N80" i="70" s="1"/>
  <c r="P80" i="70" s="1"/>
  <c r="O80" i="70"/>
  <c r="N134" i="70"/>
  <c r="J72" i="118"/>
  <c r="J126" i="118" s="1"/>
  <c r="J126" i="70"/>
  <c r="I128" i="118"/>
  <c r="I126" i="118"/>
  <c r="J130" i="70"/>
  <c r="J76" i="118"/>
  <c r="J130" i="118" s="1"/>
  <c r="J138" i="70"/>
  <c r="J84" i="118"/>
  <c r="J138" i="118" s="1"/>
  <c r="O75" i="70"/>
  <c r="P75" i="70"/>
  <c r="N129" i="70"/>
  <c r="J79" i="118"/>
  <c r="J133" i="118" s="1"/>
  <c r="J133" i="70"/>
  <c r="K130" i="70"/>
  <c r="K76" i="118"/>
  <c r="K130" i="118" s="1"/>
  <c r="I138" i="118"/>
  <c r="K84" i="118"/>
  <c r="K138" i="118" s="1"/>
  <c r="K138" i="70"/>
  <c r="K81" i="118"/>
  <c r="K135" i="118" s="1"/>
  <c r="K135" i="70"/>
  <c r="I130" i="118"/>
  <c r="K129" i="70"/>
  <c r="K75" i="118"/>
  <c r="K129" i="118" s="1"/>
  <c r="K133" i="70"/>
  <c r="M133" i="70" s="1"/>
  <c r="K79" i="118"/>
  <c r="K133" i="118" s="1"/>
  <c r="F18" i="54"/>
  <c r="E19" i="54"/>
  <c r="M130" i="70"/>
  <c r="I129" i="118"/>
  <c r="J74" i="118"/>
  <c r="J128" i="118" s="1"/>
  <c r="J128" i="70"/>
  <c r="I133" i="118"/>
  <c r="J136" i="70"/>
  <c r="J82" i="118"/>
  <c r="J136" i="118" s="1"/>
  <c r="J75" i="118"/>
  <c r="J129" i="118" s="1"/>
  <c r="J129" i="70"/>
  <c r="M79" i="70"/>
  <c r="N79" i="70" s="1"/>
  <c r="O74" i="70"/>
  <c r="P74" i="70"/>
  <c r="N128" i="70"/>
  <c r="J137" i="70"/>
  <c r="J83" i="118"/>
  <c r="J137" i="118" s="1"/>
  <c r="I136" i="118"/>
  <c r="I135" i="118"/>
  <c r="M81" i="70"/>
  <c r="N81" i="70" s="1"/>
  <c r="J135" i="70"/>
  <c r="J81" i="118"/>
  <c r="J135" i="118" s="1"/>
  <c r="J124" i="70"/>
  <c r="J70" i="118"/>
  <c r="J124" i="118" s="1"/>
  <c r="I68" i="118"/>
  <c r="H85" i="118"/>
  <c r="I137" i="118"/>
  <c r="K136" i="70"/>
  <c r="K82" i="118"/>
  <c r="K136" i="118" s="1"/>
  <c r="K68" i="70"/>
  <c r="J68" i="70"/>
  <c r="I85" i="70"/>
  <c r="M68" i="70"/>
  <c r="I122" i="70"/>
  <c r="E139" i="118"/>
  <c r="H122" i="118"/>
  <c r="H139" i="118" s="1"/>
  <c r="K80" i="118"/>
  <c r="K134" i="118" s="1"/>
  <c r="K134" i="70"/>
  <c r="K83" i="118"/>
  <c r="K137" i="118" s="1"/>
  <c r="K137" i="70"/>
  <c r="K126" i="70"/>
  <c r="K72" i="118"/>
  <c r="K126" i="118" s="1"/>
  <c r="O76" i="70"/>
  <c r="P76" i="70"/>
  <c r="N130" i="70"/>
  <c r="P84" i="70"/>
  <c r="O84" i="70"/>
  <c r="N138" i="70"/>
  <c r="K74" i="118"/>
  <c r="K128" i="118" s="1"/>
  <c r="K128" i="70"/>
  <c r="M128" i="70" s="1"/>
  <c r="I134" i="118"/>
  <c r="I124" i="118"/>
  <c r="M70" i="70"/>
  <c r="N70" i="70" s="1"/>
  <c r="K70" i="118"/>
  <c r="K124" i="118" s="1"/>
  <c r="K124" i="70"/>
  <c r="M124" i="70" s="1"/>
  <c r="F86" i="118"/>
  <c r="G15" i="58"/>
  <c r="J134" i="70"/>
  <c r="J80" i="118"/>
  <c r="J134" i="118" s="1"/>
  <c r="M72" i="70"/>
  <c r="N72" i="70" s="1"/>
  <c r="M82" i="70"/>
  <c r="N82" i="70" s="1"/>
  <c r="M83" i="70"/>
  <c r="N83" i="70" s="1"/>
  <c r="M74" i="118" l="1"/>
  <c r="N74" i="118" s="1"/>
  <c r="M126" i="70"/>
  <c r="M133" i="118"/>
  <c r="M79" i="118"/>
  <c r="N79" i="118" s="1"/>
  <c r="R74" i="70"/>
  <c r="S74" i="70" s="1"/>
  <c r="M138" i="70"/>
  <c r="M136" i="70"/>
  <c r="M129" i="70"/>
  <c r="R80" i="70"/>
  <c r="S80" i="70" s="1"/>
  <c r="M130" i="118"/>
  <c r="M137" i="70"/>
  <c r="M84" i="118"/>
  <c r="N84" i="118" s="1"/>
  <c r="M135" i="70"/>
  <c r="M75" i="118"/>
  <c r="N75" i="118" s="1"/>
  <c r="N138" i="118"/>
  <c r="P83" i="70"/>
  <c r="O83" i="70"/>
  <c r="N137" i="70"/>
  <c r="O82" i="70"/>
  <c r="P82" i="70"/>
  <c r="N136" i="70"/>
  <c r="P81" i="70"/>
  <c r="O81" i="70"/>
  <c r="N135" i="70"/>
  <c r="M76" i="118"/>
  <c r="N76" i="118" s="1"/>
  <c r="O72" i="70"/>
  <c r="P72" i="70"/>
  <c r="N126" i="70"/>
  <c r="M135" i="118"/>
  <c r="N133" i="118"/>
  <c r="P130" i="70"/>
  <c r="P76" i="118"/>
  <c r="P130" i="118" s="1"/>
  <c r="N128" i="118"/>
  <c r="M124" i="118"/>
  <c r="I139" i="70"/>
  <c r="M85" i="70"/>
  <c r="N68" i="70"/>
  <c r="M81" i="118"/>
  <c r="N81" i="118" s="1"/>
  <c r="P138" i="70"/>
  <c r="P84" i="118"/>
  <c r="P138" i="118" s="1"/>
  <c r="I85" i="118"/>
  <c r="I122" i="118"/>
  <c r="M136" i="118"/>
  <c r="O74" i="118"/>
  <c r="O128" i="118" s="1"/>
  <c r="O128" i="70"/>
  <c r="M126" i="118"/>
  <c r="S80" i="118"/>
  <c r="T80" i="70"/>
  <c r="W80" i="70" s="1"/>
  <c r="D107" i="70" s="1"/>
  <c r="U80" i="70"/>
  <c r="S134" i="70"/>
  <c r="O75" i="118"/>
  <c r="O129" i="118" s="1"/>
  <c r="O129" i="70"/>
  <c r="F19" i="54"/>
  <c r="H15" i="54"/>
  <c r="E21" i="54"/>
  <c r="M70" i="118"/>
  <c r="N70" i="118" s="1"/>
  <c r="M134" i="118"/>
  <c r="M80" i="118"/>
  <c r="N80" i="118" s="1"/>
  <c r="J122" i="70"/>
  <c r="J139" i="70" s="1"/>
  <c r="J85" i="70"/>
  <c r="J68" i="118"/>
  <c r="M82" i="118"/>
  <c r="N82" i="118" s="1"/>
  <c r="P79" i="70"/>
  <c r="O79" i="70"/>
  <c r="N133" i="70"/>
  <c r="R75" i="70"/>
  <c r="S75" i="70" s="1"/>
  <c r="M72" i="118"/>
  <c r="N72" i="118" s="1"/>
  <c r="O134" i="70"/>
  <c r="O80" i="118"/>
  <c r="O134" i="118" s="1"/>
  <c r="O130" i="70"/>
  <c r="O76" i="118"/>
  <c r="O130" i="118" s="1"/>
  <c r="O70" i="70"/>
  <c r="P70" i="70"/>
  <c r="N124" i="70"/>
  <c r="M137" i="118"/>
  <c r="M83" i="118"/>
  <c r="N83" i="118" s="1"/>
  <c r="T74" i="70"/>
  <c r="U74" i="70"/>
  <c r="S74" i="118"/>
  <c r="S128" i="70"/>
  <c r="R84" i="70"/>
  <c r="S84" i="70" s="1"/>
  <c r="O84" i="118"/>
  <c r="O138" i="118" s="1"/>
  <c r="O138" i="70"/>
  <c r="P128" i="70"/>
  <c r="R128" i="70" s="1"/>
  <c r="P74" i="118"/>
  <c r="P128" i="118" s="1"/>
  <c r="F15" i="58"/>
  <c r="H15" i="58" s="1"/>
  <c r="R76" i="70"/>
  <c r="S76" i="70" s="1"/>
  <c r="M134" i="70"/>
  <c r="K85" i="70"/>
  <c r="K122" i="70"/>
  <c r="K139" i="70" s="1"/>
  <c r="K68" i="118"/>
  <c r="M129" i="118"/>
  <c r="M138" i="118"/>
  <c r="P75" i="118"/>
  <c r="P129" i="118" s="1"/>
  <c r="P129" i="70"/>
  <c r="M128" i="118"/>
  <c r="P80" i="118"/>
  <c r="P134" i="118" s="1"/>
  <c r="P134" i="70"/>
  <c r="W74" i="70" l="1"/>
  <c r="D101" i="70" s="1"/>
  <c r="R83" i="70"/>
  <c r="S83" i="70" s="1"/>
  <c r="R134" i="70"/>
  <c r="M68" i="118"/>
  <c r="N68" i="118" s="1"/>
  <c r="R70" i="70"/>
  <c r="S70" i="70" s="1"/>
  <c r="U70" i="70" s="1"/>
  <c r="S70" i="118"/>
  <c r="S124" i="70"/>
  <c r="S84" i="118"/>
  <c r="T84" i="70"/>
  <c r="U84" i="70"/>
  <c r="S138" i="70"/>
  <c r="O136" i="70"/>
  <c r="O82" i="118"/>
  <c r="O136" i="118" s="1"/>
  <c r="R76" i="118"/>
  <c r="N130" i="118"/>
  <c r="S83" i="118"/>
  <c r="U83" i="70"/>
  <c r="T83" i="70"/>
  <c r="W83" i="70" s="1"/>
  <c r="D110" i="70" s="1"/>
  <c r="S137" i="70"/>
  <c r="R79" i="70"/>
  <c r="S79" i="70" s="1"/>
  <c r="O79" i="118"/>
  <c r="O133" i="70"/>
  <c r="U134" i="70"/>
  <c r="U80" i="118"/>
  <c r="U134" i="118" s="1"/>
  <c r="S76" i="118"/>
  <c r="T76" i="70"/>
  <c r="U76" i="70"/>
  <c r="S130" i="70"/>
  <c r="U74" i="118"/>
  <c r="U128" i="118" s="1"/>
  <c r="U128" i="70"/>
  <c r="R130" i="118"/>
  <c r="P133" i="70"/>
  <c r="P79" i="118"/>
  <c r="P133" i="118" s="1"/>
  <c r="E23" i="54"/>
  <c r="F21" i="54"/>
  <c r="T80" i="118"/>
  <c r="T134" i="118" s="1"/>
  <c r="T134" i="70"/>
  <c r="P135" i="70"/>
  <c r="P81" i="118"/>
  <c r="P135" i="118" s="1"/>
  <c r="P83" i="118"/>
  <c r="P137" i="118" s="1"/>
  <c r="P137" i="70"/>
  <c r="P68" i="70"/>
  <c r="O68" i="70"/>
  <c r="R68" i="70" s="1"/>
  <c r="N85" i="70"/>
  <c r="N122" i="70"/>
  <c r="P124" i="70"/>
  <c r="P70" i="118"/>
  <c r="P124" i="118" s="1"/>
  <c r="F101" i="70"/>
  <c r="E101" i="70"/>
  <c r="D154" i="70"/>
  <c r="I139" i="118"/>
  <c r="S128" i="118"/>
  <c r="N124" i="118"/>
  <c r="T74" i="118"/>
  <c r="T128" i="118" s="1"/>
  <c r="T128" i="70"/>
  <c r="W128" i="70" s="1"/>
  <c r="R130" i="70"/>
  <c r="N136" i="118"/>
  <c r="H16" i="54"/>
  <c r="I16" i="54" s="1"/>
  <c r="I15" i="54"/>
  <c r="S134" i="118"/>
  <c r="R128" i="118"/>
  <c r="R138" i="118"/>
  <c r="N126" i="118"/>
  <c r="O72" i="118"/>
  <c r="O126" i="118" s="1"/>
  <c r="O126" i="70"/>
  <c r="U75" i="70"/>
  <c r="T75" i="70"/>
  <c r="S75" i="118"/>
  <c r="S129" i="70"/>
  <c r="O124" i="70"/>
  <c r="R124" i="70" s="1"/>
  <c r="O70" i="118"/>
  <c r="O124" i="118" s="1"/>
  <c r="O137" i="70"/>
  <c r="O83" i="118"/>
  <c r="O137" i="118" s="1"/>
  <c r="N137" i="118"/>
  <c r="J85" i="118"/>
  <c r="K15" i="58" s="1"/>
  <c r="J122" i="118"/>
  <c r="J139" i="118" s="1"/>
  <c r="R138" i="70"/>
  <c r="R74" i="118"/>
  <c r="R72" i="70"/>
  <c r="S72" i="70" s="1"/>
  <c r="R82" i="70"/>
  <c r="S82" i="70" s="1"/>
  <c r="R84" i="118"/>
  <c r="K85" i="118"/>
  <c r="K122" i="118"/>
  <c r="K139" i="118" s="1"/>
  <c r="R80" i="118"/>
  <c r="N134" i="118"/>
  <c r="R134" i="118" s="1"/>
  <c r="F107" i="70"/>
  <c r="E107" i="70"/>
  <c r="H107" i="70"/>
  <c r="I107" i="70" s="1"/>
  <c r="D160" i="70"/>
  <c r="M122" i="70"/>
  <c r="M139" i="70" s="1"/>
  <c r="R81" i="70"/>
  <c r="S81" i="70" s="1"/>
  <c r="O135" i="70"/>
  <c r="R135" i="70" s="1"/>
  <c r="O81" i="118"/>
  <c r="O135" i="118" s="1"/>
  <c r="R129" i="70"/>
  <c r="R81" i="118"/>
  <c r="N135" i="118"/>
  <c r="R135" i="118" s="1"/>
  <c r="P72" i="118"/>
  <c r="P126" i="118" s="1"/>
  <c r="P126" i="70"/>
  <c r="P136" i="70"/>
  <c r="P82" i="118"/>
  <c r="P136" i="118" s="1"/>
  <c r="R75" i="118"/>
  <c r="N129" i="118"/>
  <c r="R129" i="118" s="1"/>
  <c r="W76" i="70" l="1"/>
  <c r="D103" i="70" s="1"/>
  <c r="T70" i="70"/>
  <c r="W70" i="70" s="1"/>
  <c r="D97" i="70" s="1"/>
  <c r="W80" i="118"/>
  <c r="D107" i="118" s="1"/>
  <c r="W134" i="118"/>
  <c r="W75" i="70"/>
  <c r="D102" i="70" s="1"/>
  <c r="W128" i="118"/>
  <c r="M85" i="118"/>
  <c r="H18" i="54"/>
  <c r="I18" i="54" s="1"/>
  <c r="W74" i="118"/>
  <c r="D101" i="118" s="1"/>
  <c r="D154" i="118" s="1"/>
  <c r="R70" i="118"/>
  <c r="R72" i="118"/>
  <c r="R137" i="70"/>
  <c r="R136" i="70"/>
  <c r="N85" i="118"/>
  <c r="N122" i="118"/>
  <c r="T83" i="118"/>
  <c r="T137" i="118" s="1"/>
  <c r="T137" i="70"/>
  <c r="J107" i="70"/>
  <c r="J107" i="118" s="1"/>
  <c r="K107" i="70"/>
  <c r="K107" i="118" s="1"/>
  <c r="J15" i="58"/>
  <c r="L15" i="58"/>
  <c r="U129" i="70"/>
  <c r="U75" i="118"/>
  <c r="U129" i="118" s="1"/>
  <c r="D160" i="118"/>
  <c r="S68" i="70"/>
  <c r="R85" i="70"/>
  <c r="U83" i="118"/>
  <c r="U137" i="118" s="1"/>
  <c r="U137" i="70"/>
  <c r="U138" i="70"/>
  <c r="U84" i="118"/>
  <c r="U138" i="118" s="1"/>
  <c r="S124" i="118"/>
  <c r="E103" i="70"/>
  <c r="H103" i="70" s="1"/>
  <c r="I103" i="70" s="1"/>
  <c r="F103" i="70"/>
  <c r="D156" i="70"/>
  <c r="F23" i="54"/>
  <c r="F25" i="54" s="1"/>
  <c r="E25" i="54"/>
  <c r="G17" i="58" s="1"/>
  <c r="F110" i="70"/>
  <c r="E110" i="70"/>
  <c r="H110" i="70" s="1"/>
  <c r="I110" i="70" s="1"/>
  <c r="D163" i="70"/>
  <c r="R82" i="118"/>
  <c r="E160" i="70"/>
  <c r="H160" i="70" s="1"/>
  <c r="I160" i="70" s="1"/>
  <c r="M160" i="70" s="1"/>
  <c r="N160" i="70" s="1"/>
  <c r="R160" i="70" s="1"/>
  <c r="S160" i="70" s="1"/>
  <c r="W160" i="70" s="1"/>
  <c r="E107" i="118"/>
  <c r="E160" i="118" s="1"/>
  <c r="R126" i="70"/>
  <c r="S137" i="118"/>
  <c r="W84" i="70"/>
  <c r="D111" i="70" s="1"/>
  <c r="U124" i="70"/>
  <c r="U70" i="118"/>
  <c r="U124" i="118" s="1"/>
  <c r="F101" i="118"/>
  <c r="F154" i="118" s="1"/>
  <c r="F154" i="70"/>
  <c r="U76" i="118"/>
  <c r="U130" i="118" s="1"/>
  <c r="U130" i="70"/>
  <c r="S129" i="118"/>
  <c r="T76" i="118"/>
  <c r="T130" i="118" s="1"/>
  <c r="T130" i="70"/>
  <c r="W130" i="70" s="1"/>
  <c r="T75" i="118"/>
  <c r="T129" i="118" s="1"/>
  <c r="T129" i="70"/>
  <c r="M122" i="118"/>
  <c r="M139" i="118" s="1"/>
  <c r="F107" i="118"/>
  <c r="F160" i="118" s="1"/>
  <c r="F160" i="70"/>
  <c r="R137" i="118"/>
  <c r="H19" i="54"/>
  <c r="H101" i="70"/>
  <c r="I101" i="70" s="1"/>
  <c r="O68" i="118"/>
  <c r="O122" i="70"/>
  <c r="O139" i="70" s="1"/>
  <c r="O85" i="70"/>
  <c r="W134" i="70"/>
  <c r="R133" i="70"/>
  <c r="T84" i="118"/>
  <c r="T138" i="118" s="1"/>
  <c r="T138" i="70"/>
  <c r="T70" i="118"/>
  <c r="T124" i="118" s="1"/>
  <c r="T124" i="70"/>
  <c r="U72" i="70"/>
  <c r="T72" i="70"/>
  <c r="W72" i="70" s="1"/>
  <c r="D99" i="70" s="1"/>
  <c r="S72" i="118"/>
  <c r="S126" i="70"/>
  <c r="U79" i="70"/>
  <c r="T79" i="70"/>
  <c r="W79" i="70" s="1"/>
  <c r="D106" i="70" s="1"/>
  <c r="S79" i="118"/>
  <c r="S133" i="70"/>
  <c r="T81" i="70"/>
  <c r="W81" i="70" s="1"/>
  <c r="D108" i="70" s="1"/>
  <c r="U81" i="70"/>
  <c r="S81" i="118"/>
  <c r="S135" i="70"/>
  <c r="F102" i="70"/>
  <c r="E102" i="70"/>
  <c r="D155" i="70"/>
  <c r="R136" i="118"/>
  <c r="N139" i="70"/>
  <c r="S130" i="118"/>
  <c r="U82" i="70"/>
  <c r="T82" i="70"/>
  <c r="S82" i="118"/>
  <c r="S136" i="70"/>
  <c r="R83" i="118"/>
  <c r="R126" i="118"/>
  <c r="R124" i="118"/>
  <c r="E154" i="70"/>
  <c r="E101" i="118"/>
  <c r="E154" i="118" s="1"/>
  <c r="P68" i="118"/>
  <c r="P85" i="70"/>
  <c r="P122" i="70"/>
  <c r="P139" i="70" s="1"/>
  <c r="O133" i="118"/>
  <c r="R133" i="118" s="1"/>
  <c r="R79" i="118"/>
  <c r="S138" i="118"/>
  <c r="E97" i="70" l="1"/>
  <c r="D150" i="70"/>
  <c r="F97" i="70"/>
  <c r="H97" i="70"/>
  <c r="I97" i="70" s="1"/>
  <c r="W124" i="70"/>
  <c r="W129" i="70"/>
  <c r="W82" i="70"/>
  <c r="D109" i="70" s="1"/>
  <c r="D162" i="70" s="1"/>
  <c r="H154" i="70"/>
  <c r="I154" i="70" s="1"/>
  <c r="M154" i="70" s="1"/>
  <c r="N154" i="70" s="1"/>
  <c r="R154" i="70" s="1"/>
  <c r="S154" i="70" s="1"/>
  <c r="W154" i="70" s="1"/>
  <c r="W138" i="118"/>
  <c r="W138" i="70"/>
  <c r="W84" i="118"/>
  <c r="D111" i="118" s="1"/>
  <c r="W76" i="118"/>
  <c r="D103" i="118" s="1"/>
  <c r="D156" i="118" s="1"/>
  <c r="H160" i="118"/>
  <c r="I160" i="118" s="1"/>
  <c r="M160" i="118" s="1"/>
  <c r="N160" i="118" s="1"/>
  <c r="R160" i="118" s="1"/>
  <c r="S160" i="118" s="1"/>
  <c r="W160" i="118" s="1"/>
  <c r="W130" i="118"/>
  <c r="E109" i="70"/>
  <c r="E102" i="118"/>
  <c r="E155" i="118" s="1"/>
  <c r="E155" i="70"/>
  <c r="D164" i="118"/>
  <c r="F156" i="70"/>
  <c r="F103" i="118"/>
  <c r="F156" i="118" s="1"/>
  <c r="T133" i="70"/>
  <c r="T79" i="118"/>
  <c r="T133" i="118" s="1"/>
  <c r="H154" i="118"/>
  <c r="I154" i="118" s="1"/>
  <c r="M154" i="118" s="1"/>
  <c r="N154" i="118" s="1"/>
  <c r="R154" i="118" s="1"/>
  <c r="S154" i="118" s="1"/>
  <c r="W154" i="118" s="1"/>
  <c r="U81" i="118"/>
  <c r="U135" i="118" s="1"/>
  <c r="U135" i="70"/>
  <c r="W129" i="118"/>
  <c r="F111" i="70"/>
  <c r="E111" i="70"/>
  <c r="D164" i="70"/>
  <c r="F150" i="70"/>
  <c r="F97" i="118"/>
  <c r="F150" i="118" s="1"/>
  <c r="W70" i="118"/>
  <c r="D97" i="118" s="1"/>
  <c r="H107" i="118"/>
  <c r="I107" i="118" s="1"/>
  <c r="M107" i="118" s="1"/>
  <c r="N107" i="118" s="1"/>
  <c r="H101" i="118"/>
  <c r="I101" i="118" s="1"/>
  <c r="F106" i="70"/>
  <c r="E106" i="70"/>
  <c r="D159" i="70"/>
  <c r="F155" i="70"/>
  <c r="F102" i="118"/>
  <c r="F155" i="118" s="1"/>
  <c r="O85" i="118"/>
  <c r="O15" i="58" s="1"/>
  <c r="O122" i="118"/>
  <c r="O139" i="118" s="1"/>
  <c r="E163" i="70"/>
  <c r="E110" i="118"/>
  <c r="E163" i="118" s="1"/>
  <c r="U68" i="70"/>
  <c r="T68" i="70"/>
  <c r="S68" i="118"/>
  <c r="S85" i="70"/>
  <c r="S122" i="70"/>
  <c r="R122" i="70"/>
  <c r="R139" i="70" s="1"/>
  <c r="K15" i="54"/>
  <c r="I19" i="54"/>
  <c r="H21" i="54"/>
  <c r="E108" i="70"/>
  <c r="F108" i="70"/>
  <c r="D161" i="70"/>
  <c r="S126" i="118"/>
  <c r="W75" i="118"/>
  <c r="D102" i="118" s="1"/>
  <c r="W137" i="118"/>
  <c r="E97" i="118"/>
  <c r="E150" i="118" s="1"/>
  <c r="E150" i="70"/>
  <c r="F17" i="58"/>
  <c r="D15" i="78" s="1"/>
  <c r="N139" i="118"/>
  <c r="J103" i="70"/>
  <c r="J103" i="118" s="1"/>
  <c r="K103" i="70"/>
  <c r="K103" i="118" s="1"/>
  <c r="S133" i="118"/>
  <c r="U79" i="118"/>
  <c r="U133" i="118" s="1"/>
  <c r="U133" i="70"/>
  <c r="K97" i="70"/>
  <c r="K97" i="118" s="1"/>
  <c r="J97" i="70"/>
  <c r="J97" i="118" s="1"/>
  <c r="P122" i="118"/>
  <c r="P139" i="118" s="1"/>
  <c r="P85" i="118"/>
  <c r="S136" i="118"/>
  <c r="T135" i="70"/>
  <c r="W135" i="70" s="1"/>
  <c r="T81" i="118"/>
  <c r="T135" i="118" s="1"/>
  <c r="T126" i="70"/>
  <c r="T72" i="118"/>
  <c r="T126" i="118" s="1"/>
  <c r="W83" i="118"/>
  <c r="D110" i="118" s="1"/>
  <c r="M107" i="70"/>
  <c r="N107" i="70" s="1"/>
  <c r="U82" i="118"/>
  <c r="U136" i="118" s="1"/>
  <c r="U136" i="70"/>
  <c r="F99" i="70"/>
  <c r="E99" i="70"/>
  <c r="D152" i="70"/>
  <c r="K110" i="70"/>
  <c r="K110" i="118" s="1"/>
  <c r="J110" i="70"/>
  <c r="J110" i="118" s="1"/>
  <c r="M110" i="70"/>
  <c r="N110" i="70" s="1"/>
  <c r="J101" i="70"/>
  <c r="J101" i="118" s="1"/>
  <c r="K101" i="70"/>
  <c r="K101" i="118" s="1"/>
  <c r="E156" i="70"/>
  <c r="E103" i="118"/>
  <c r="E156" i="118" s="1"/>
  <c r="S135" i="118"/>
  <c r="F163" i="70"/>
  <c r="F110" i="118"/>
  <c r="F163" i="118" s="1"/>
  <c r="W124" i="118"/>
  <c r="T82" i="118"/>
  <c r="T136" i="118" s="1"/>
  <c r="T136" i="70"/>
  <c r="H102" i="70"/>
  <c r="I102" i="70" s="1"/>
  <c r="U126" i="70"/>
  <c r="U72" i="118"/>
  <c r="U126" i="118" s="1"/>
  <c r="W137" i="70"/>
  <c r="R68" i="118"/>
  <c r="R85" i="118" s="1"/>
  <c r="F109" i="70" l="1"/>
  <c r="M101" i="70"/>
  <c r="N101" i="70" s="1"/>
  <c r="W133" i="70"/>
  <c r="R122" i="118"/>
  <c r="R139" i="118" s="1"/>
  <c r="W136" i="118"/>
  <c r="W81" i="118"/>
  <c r="D108" i="118" s="1"/>
  <c r="D161" i="118" s="1"/>
  <c r="W136" i="70"/>
  <c r="H156" i="70"/>
  <c r="I156" i="70" s="1"/>
  <c r="M156" i="70" s="1"/>
  <c r="N156" i="70" s="1"/>
  <c r="R156" i="70" s="1"/>
  <c r="S156" i="70" s="1"/>
  <c r="W156" i="70" s="1"/>
  <c r="M97" i="70"/>
  <c r="N97" i="70" s="1"/>
  <c r="P97" i="70" s="1"/>
  <c r="P97" i="118" s="1"/>
  <c r="F108" i="118"/>
  <c r="F161" i="118" s="1"/>
  <c r="F161" i="70"/>
  <c r="S85" i="118"/>
  <c r="S122" i="118"/>
  <c r="T68" i="118"/>
  <c r="T122" i="70"/>
  <c r="T139" i="70" s="1"/>
  <c r="T85" i="70"/>
  <c r="W82" i="118"/>
  <c r="D109" i="118" s="1"/>
  <c r="P107" i="70"/>
  <c r="P107" i="118" s="1"/>
  <c r="O107" i="70"/>
  <c r="O107" i="118" s="1"/>
  <c r="W79" i="118"/>
  <c r="D106" i="118" s="1"/>
  <c r="W126" i="118"/>
  <c r="K18" i="54"/>
  <c r="L18" i="54" s="1"/>
  <c r="L15" i="54"/>
  <c r="K16" i="54"/>
  <c r="L16" i="54" s="1"/>
  <c r="F106" i="118"/>
  <c r="F159" i="118" s="1"/>
  <c r="F159" i="70"/>
  <c r="H150" i="70"/>
  <c r="I150" i="70" s="1"/>
  <c r="M150" i="70" s="1"/>
  <c r="N150" i="70" s="1"/>
  <c r="R150" i="70" s="1"/>
  <c r="S150" i="70" s="1"/>
  <c r="W150" i="70" s="1"/>
  <c r="E152" i="70"/>
  <c r="E99" i="118"/>
  <c r="E152" i="118" s="1"/>
  <c r="F111" i="118"/>
  <c r="F164" i="118" s="1"/>
  <c r="F164" i="70"/>
  <c r="F152" i="70"/>
  <c r="F99" i="118"/>
  <c r="F152" i="118" s="1"/>
  <c r="H23" i="54"/>
  <c r="I21" i="54"/>
  <c r="P101" i="70"/>
  <c r="P101" i="118" s="1"/>
  <c r="O101" i="70"/>
  <c r="O101" i="118" s="1"/>
  <c r="W133" i="118"/>
  <c r="U122" i="70"/>
  <c r="U139" i="70" s="1"/>
  <c r="U68" i="118"/>
  <c r="U85" i="70"/>
  <c r="H106" i="70"/>
  <c r="I106" i="70" s="1"/>
  <c r="E159" i="70"/>
  <c r="H159" i="70" s="1"/>
  <c r="I159" i="70" s="1"/>
  <c r="M159" i="70" s="1"/>
  <c r="N159" i="70" s="1"/>
  <c r="R159" i="70" s="1"/>
  <c r="S159" i="70" s="1"/>
  <c r="W159" i="70" s="1"/>
  <c r="E106" i="118"/>
  <c r="E159" i="118" s="1"/>
  <c r="H110" i="118"/>
  <c r="I110" i="118" s="1"/>
  <c r="M110" i="118" s="1"/>
  <c r="N110" i="118" s="1"/>
  <c r="D163" i="118"/>
  <c r="H163" i="118" s="1"/>
  <c r="I163" i="118" s="1"/>
  <c r="M163" i="118" s="1"/>
  <c r="N163" i="118" s="1"/>
  <c r="R163" i="118" s="1"/>
  <c r="S163" i="118" s="1"/>
  <c r="W163" i="118" s="1"/>
  <c r="W72" i="118"/>
  <c r="D99" i="118" s="1"/>
  <c r="H163" i="70"/>
  <c r="I163" i="70" s="1"/>
  <c r="M163" i="70" s="1"/>
  <c r="N163" i="70" s="1"/>
  <c r="R163" i="70" s="1"/>
  <c r="S163" i="70" s="1"/>
  <c r="W163" i="70" s="1"/>
  <c r="M101" i="118"/>
  <c r="N101" i="118" s="1"/>
  <c r="H97" i="118"/>
  <c r="I97" i="118" s="1"/>
  <c r="M97" i="118" s="1"/>
  <c r="N97" i="118" s="1"/>
  <c r="D150" i="118"/>
  <c r="H150" i="118" s="1"/>
  <c r="I150" i="118" s="1"/>
  <c r="M150" i="118" s="1"/>
  <c r="N150" i="118" s="1"/>
  <c r="R150" i="118" s="1"/>
  <c r="S150" i="118" s="1"/>
  <c r="W150" i="118" s="1"/>
  <c r="K102" i="70"/>
  <c r="K102" i="118" s="1"/>
  <c r="J102" i="70"/>
  <c r="J102" i="118" s="1"/>
  <c r="M102" i="70"/>
  <c r="N102" i="70" s="1"/>
  <c r="H155" i="70"/>
  <c r="I155" i="70" s="1"/>
  <c r="M155" i="70" s="1"/>
  <c r="N155" i="70" s="1"/>
  <c r="R155" i="70" s="1"/>
  <c r="S155" i="70" s="1"/>
  <c r="W155" i="70" s="1"/>
  <c r="H156" i="118"/>
  <c r="I156" i="118" s="1"/>
  <c r="M156" i="118" s="1"/>
  <c r="N156" i="118" s="1"/>
  <c r="R156" i="118" s="1"/>
  <c r="S156" i="118" s="1"/>
  <c r="W156" i="118" s="1"/>
  <c r="M103" i="70"/>
  <c r="N103" i="70" s="1"/>
  <c r="S139" i="70"/>
  <c r="H111" i="70"/>
  <c r="I111" i="70" s="1"/>
  <c r="H109" i="70"/>
  <c r="I109" i="70" s="1"/>
  <c r="E109" i="118"/>
  <c r="E162" i="118" s="1"/>
  <c r="E162" i="70"/>
  <c r="H162" i="70" s="1"/>
  <c r="I162" i="70" s="1"/>
  <c r="M162" i="70" s="1"/>
  <c r="N162" i="70" s="1"/>
  <c r="R162" i="70" s="1"/>
  <c r="S162" i="70" s="1"/>
  <c r="W162" i="70" s="1"/>
  <c r="O110" i="70"/>
  <c r="O110" i="118" s="1"/>
  <c r="P110" i="70"/>
  <c r="P110" i="118" s="1"/>
  <c r="E108" i="118"/>
  <c r="E161" i="118" s="1"/>
  <c r="E161" i="70"/>
  <c r="H161" i="70" s="1"/>
  <c r="I161" i="70" s="1"/>
  <c r="M161" i="70" s="1"/>
  <c r="N161" i="70" s="1"/>
  <c r="R161" i="70" s="1"/>
  <c r="S161" i="70" s="1"/>
  <c r="W161" i="70" s="1"/>
  <c r="H102" i="118"/>
  <c r="I102" i="118" s="1"/>
  <c r="D155" i="118"/>
  <c r="H155" i="118" s="1"/>
  <c r="I155" i="118" s="1"/>
  <c r="M155" i="118" s="1"/>
  <c r="N155" i="118" s="1"/>
  <c r="R155" i="118" s="1"/>
  <c r="S155" i="118" s="1"/>
  <c r="W155" i="118" s="1"/>
  <c r="W135" i="118"/>
  <c r="H103" i="118"/>
  <c r="I103" i="118" s="1"/>
  <c r="M103" i="118" s="1"/>
  <c r="N103" i="118" s="1"/>
  <c r="H99" i="70"/>
  <c r="I99" i="70" s="1"/>
  <c r="W126" i="70"/>
  <c r="H17" i="58"/>
  <c r="H108" i="70"/>
  <c r="I108" i="70" s="1"/>
  <c r="W68" i="70"/>
  <c r="P15" i="58"/>
  <c r="Q15" i="58" s="1"/>
  <c r="E164" i="70"/>
  <c r="E111" i="118"/>
  <c r="F109" i="118"/>
  <c r="F162" i="118" s="1"/>
  <c r="F162" i="70"/>
  <c r="R107" i="118" l="1"/>
  <c r="S107" i="118" s="1"/>
  <c r="H164" i="70"/>
  <c r="I164" i="70" s="1"/>
  <c r="M164" i="70" s="1"/>
  <c r="N164" i="70" s="1"/>
  <c r="R164" i="70" s="1"/>
  <c r="S164" i="70" s="1"/>
  <c r="W164" i="70" s="1"/>
  <c r="H152" i="70"/>
  <c r="I152" i="70" s="1"/>
  <c r="M152" i="70" s="1"/>
  <c r="N152" i="70" s="1"/>
  <c r="R152" i="70" s="1"/>
  <c r="S152" i="70" s="1"/>
  <c r="W152" i="70" s="1"/>
  <c r="O97" i="70"/>
  <c r="O97" i="118" s="1"/>
  <c r="R97" i="118" s="1"/>
  <c r="S97" i="118" s="1"/>
  <c r="R107" i="70"/>
  <c r="S107" i="70" s="1"/>
  <c r="R110" i="70"/>
  <c r="S110" i="70" s="1"/>
  <c r="T110" i="70" s="1"/>
  <c r="T110" i="118" s="1"/>
  <c r="W68" i="118"/>
  <c r="T122" i="118"/>
  <c r="T139" i="118" s="1"/>
  <c r="T85" i="118"/>
  <c r="S15" i="58" s="1"/>
  <c r="J99" i="70"/>
  <c r="J99" i="118" s="1"/>
  <c r="K99" i="70"/>
  <c r="K99" i="118" s="1"/>
  <c r="P102" i="70"/>
  <c r="P102" i="118" s="1"/>
  <c r="O102" i="70"/>
  <c r="O102" i="118" s="1"/>
  <c r="H99" i="118"/>
  <c r="I99" i="118" s="1"/>
  <c r="D152" i="118"/>
  <c r="H152" i="118" s="1"/>
  <c r="I152" i="118" s="1"/>
  <c r="M152" i="118" s="1"/>
  <c r="N152" i="118" s="1"/>
  <c r="R152" i="118" s="1"/>
  <c r="S152" i="118" s="1"/>
  <c r="W152" i="118" s="1"/>
  <c r="E164" i="118"/>
  <c r="H164" i="118" s="1"/>
  <c r="I164" i="118" s="1"/>
  <c r="M164" i="118" s="1"/>
  <c r="N164" i="118" s="1"/>
  <c r="R164" i="118" s="1"/>
  <c r="S164" i="118" s="1"/>
  <c r="W164" i="118" s="1"/>
  <c r="H111" i="118"/>
  <c r="I111" i="118" s="1"/>
  <c r="J111" i="70"/>
  <c r="J111" i="118" s="1"/>
  <c r="K111" i="70"/>
  <c r="K111" i="118" s="1"/>
  <c r="H106" i="118"/>
  <c r="I106" i="118" s="1"/>
  <c r="D159" i="118"/>
  <c r="H159" i="118" s="1"/>
  <c r="I159" i="118" s="1"/>
  <c r="M159" i="118" s="1"/>
  <c r="N159" i="118" s="1"/>
  <c r="R159" i="118" s="1"/>
  <c r="S159" i="118" s="1"/>
  <c r="W159" i="118" s="1"/>
  <c r="W122" i="70"/>
  <c r="W139" i="70" s="1"/>
  <c r="N15" i="58"/>
  <c r="W85" i="70"/>
  <c r="D95" i="70"/>
  <c r="M102" i="118"/>
  <c r="N102" i="118" s="1"/>
  <c r="R110" i="118"/>
  <c r="S110" i="118" s="1"/>
  <c r="R101" i="70"/>
  <c r="S101" i="70" s="1"/>
  <c r="H109" i="118"/>
  <c r="I109" i="118" s="1"/>
  <c r="D162" i="118"/>
  <c r="H162" i="118" s="1"/>
  <c r="I162" i="118" s="1"/>
  <c r="M162" i="118" s="1"/>
  <c r="N162" i="118" s="1"/>
  <c r="R162" i="118" s="1"/>
  <c r="S162" i="118" s="1"/>
  <c r="W162" i="118" s="1"/>
  <c r="H161" i="118"/>
  <c r="I161" i="118" s="1"/>
  <c r="M161" i="118" s="1"/>
  <c r="N161" i="118" s="1"/>
  <c r="R161" i="118" s="1"/>
  <c r="S161" i="118" s="1"/>
  <c r="W161" i="118" s="1"/>
  <c r="J109" i="70"/>
  <c r="J109" i="118" s="1"/>
  <c r="K109" i="70"/>
  <c r="K109" i="118" s="1"/>
  <c r="K106" i="70"/>
  <c r="K106" i="118" s="1"/>
  <c r="J106" i="70"/>
  <c r="J106" i="118" s="1"/>
  <c r="I23" i="54"/>
  <c r="I25" i="54" s="1"/>
  <c r="H25" i="54"/>
  <c r="K17" i="58" s="1"/>
  <c r="S139" i="118"/>
  <c r="U122" i="118"/>
  <c r="U139" i="118" s="1"/>
  <c r="U85" i="118"/>
  <c r="P103" i="70"/>
  <c r="P103" i="118" s="1"/>
  <c r="O103" i="70"/>
  <c r="O103" i="118" s="1"/>
  <c r="R103" i="118" s="1"/>
  <c r="S103" i="118" s="1"/>
  <c r="K108" i="70"/>
  <c r="K108" i="118" s="1"/>
  <c r="J108" i="70"/>
  <c r="J108" i="118" s="1"/>
  <c r="R101" i="118"/>
  <c r="S101" i="118" s="1"/>
  <c r="K19" i="54"/>
  <c r="H108" i="118"/>
  <c r="I108" i="118" s="1"/>
  <c r="R103" i="70" l="1"/>
  <c r="S103" i="70" s="1"/>
  <c r="U110" i="70"/>
  <c r="U110" i="118" s="1"/>
  <c r="U107" i="70"/>
  <c r="U107" i="118" s="1"/>
  <c r="M109" i="70"/>
  <c r="N109" i="70" s="1"/>
  <c r="O109" i="70" s="1"/>
  <c r="M109" i="118"/>
  <c r="N109" i="118" s="1"/>
  <c r="R97" i="70"/>
  <c r="S97" i="70" s="1"/>
  <c r="T107" i="70"/>
  <c r="T107" i="118" s="1"/>
  <c r="W107" i="118" s="1"/>
  <c r="M111" i="118"/>
  <c r="N111" i="118" s="1"/>
  <c r="T101" i="70"/>
  <c r="T101" i="118" s="1"/>
  <c r="U101" i="70"/>
  <c r="U101" i="118" s="1"/>
  <c r="M108" i="118"/>
  <c r="N108" i="118" s="1"/>
  <c r="W110" i="118"/>
  <c r="M106" i="118"/>
  <c r="N106" i="118" s="1"/>
  <c r="M99" i="118"/>
  <c r="N99" i="118" s="1"/>
  <c r="U103" i="70"/>
  <c r="U103" i="118" s="1"/>
  <c r="T103" i="70"/>
  <c r="T103" i="118" s="1"/>
  <c r="W110" i="70"/>
  <c r="M99" i="70"/>
  <c r="N99" i="70" s="1"/>
  <c r="J17" i="58"/>
  <c r="D44" i="78" s="1"/>
  <c r="E95" i="70"/>
  <c r="D112" i="70"/>
  <c r="F95" i="70"/>
  <c r="D148" i="70"/>
  <c r="M111" i="70"/>
  <c r="N111" i="70" s="1"/>
  <c r="R102" i="118"/>
  <c r="S102" i="118" s="1"/>
  <c r="W122" i="118"/>
  <c r="W139" i="118" s="1"/>
  <c r="M15" i="54"/>
  <c r="L19" i="54"/>
  <c r="K21" i="54"/>
  <c r="M108" i="70"/>
  <c r="N108" i="70" s="1"/>
  <c r="M106" i="70"/>
  <c r="N106" i="70" s="1"/>
  <c r="R15" i="58"/>
  <c r="R102" i="70"/>
  <c r="S102" i="70" s="1"/>
  <c r="D95" i="118"/>
  <c r="W85" i="118"/>
  <c r="O109" i="118" l="1"/>
  <c r="T97" i="70"/>
  <c r="T97" i="118" s="1"/>
  <c r="U97" i="70"/>
  <c r="U97" i="118" s="1"/>
  <c r="P109" i="70"/>
  <c r="P109" i="118" s="1"/>
  <c r="R109" i="118" s="1"/>
  <c r="S109" i="118" s="1"/>
  <c r="W103" i="70"/>
  <c r="W107" i="70"/>
  <c r="W103" i="118"/>
  <c r="F112" i="70"/>
  <c r="F95" i="118"/>
  <c r="F148" i="70"/>
  <c r="F165" i="70" s="1"/>
  <c r="E112" i="70"/>
  <c r="E148" i="70"/>
  <c r="E165" i="70" s="1"/>
  <c r="E95" i="118"/>
  <c r="P99" i="70"/>
  <c r="P99" i="118" s="1"/>
  <c r="O99" i="70"/>
  <c r="O99" i="118" s="1"/>
  <c r="T102" i="70"/>
  <c r="T102" i="118" s="1"/>
  <c r="U102" i="70"/>
  <c r="U102" i="118" s="1"/>
  <c r="W102" i="118" s="1"/>
  <c r="L17" i="58"/>
  <c r="W101" i="70"/>
  <c r="M18" i="54"/>
  <c r="M19" i="54" s="1"/>
  <c r="N15" i="54" s="1"/>
  <c r="D112" i="118"/>
  <c r="D148" i="118"/>
  <c r="P111" i="70"/>
  <c r="P111" i="118" s="1"/>
  <c r="O111" i="70"/>
  <c r="O111" i="118" s="1"/>
  <c r="R111" i="118" s="1"/>
  <c r="S111" i="118" s="1"/>
  <c r="L21" i="54"/>
  <c r="K23" i="54"/>
  <c r="P106" i="70"/>
  <c r="P106" i="118" s="1"/>
  <c r="O106" i="70"/>
  <c r="O106" i="118" s="1"/>
  <c r="R106" i="118" s="1"/>
  <c r="S106" i="118" s="1"/>
  <c r="D165" i="70"/>
  <c r="W101" i="118"/>
  <c r="O108" i="70"/>
  <c r="O108" i="118" s="1"/>
  <c r="P108" i="70"/>
  <c r="P108" i="118" s="1"/>
  <c r="R108" i="70"/>
  <c r="S108" i="70" s="1"/>
  <c r="H95" i="70"/>
  <c r="R106" i="70" l="1"/>
  <c r="S106" i="70" s="1"/>
  <c r="R111" i="70"/>
  <c r="S111" i="70" s="1"/>
  <c r="W111" i="70" s="1"/>
  <c r="W102" i="70"/>
  <c r="W97" i="70"/>
  <c r="W97" i="118"/>
  <c r="R109" i="70"/>
  <c r="S109" i="70" s="1"/>
  <c r="T108" i="70"/>
  <c r="T108" i="118" s="1"/>
  <c r="U108" i="70"/>
  <c r="U108" i="118" s="1"/>
  <c r="R108" i="118"/>
  <c r="S108" i="118" s="1"/>
  <c r="E148" i="118"/>
  <c r="E165" i="118" s="1"/>
  <c r="E112" i="118"/>
  <c r="T15" i="58" s="1"/>
  <c r="D165" i="118"/>
  <c r="U106" i="70"/>
  <c r="U106" i="118" s="1"/>
  <c r="T106" i="70"/>
  <c r="T106" i="118" s="1"/>
  <c r="U111" i="70"/>
  <c r="U111" i="118" s="1"/>
  <c r="T111" i="70"/>
  <c r="T111" i="118" s="1"/>
  <c r="W111" i="118" s="1"/>
  <c r="K25" i="54"/>
  <c r="O17" i="58" s="1"/>
  <c r="P17" i="58" s="1"/>
  <c r="Q17" i="58" s="1"/>
  <c r="N17" i="58" s="1"/>
  <c r="R17" i="58" s="1"/>
  <c r="L23" i="54"/>
  <c r="L25" i="54" s="1"/>
  <c r="H95" i="118"/>
  <c r="R99" i="118"/>
  <c r="S99" i="118" s="1"/>
  <c r="F112" i="118"/>
  <c r="F148" i="118"/>
  <c r="F165" i="118" s="1"/>
  <c r="H148" i="70"/>
  <c r="I95" i="70"/>
  <c r="H112" i="70"/>
  <c r="M21" i="54"/>
  <c r="M23" i="54" s="1"/>
  <c r="R99" i="70"/>
  <c r="S99" i="70" s="1"/>
  <c r="W106" i="118" l="1"/>
  <c r="U109" i="70"/>
  <c r="U109" i="118" s="1"/>
  <c r="T109" i="70"/>
  <c r="M25" i="54"/>
  <c r="S17" i="58" s="1"/>
  <c r="T99" i="70"/>
  <c r="T99" i="118" s="1"/>
  <c r="U99" i="70"/>
  <c r="U99" i="118" s="1"/>
  <c r="W108" i="118"/>
  <c r="H112" i="118"/>
  <c r="I95" i="118"/>
  <c r="I148" i="70"/>
  <c r="H165" i="70"/>
  <c r="W108" i="70"/>
  <c r="N18" i="54"/>
  <c r="N19" i="54" s="1"/>
  <c r="I112" i="70"/>
  <c r="K95" i="70"/>
  <c r="J95" i="70"/>
  <c r="M95" i="70" s="1"/>
  <c r="W106" i="70"/>
  <c r="H148" i="118"/>
  <c r="T109" i="118" l="1"/>
  <c r="W109" i="118" s="1"/>
  <c r="W109" i="70"/>
  <c r="N95" i="70"/>
  <c r="M112" i="70"/>
  <c r="I148" i="118"/>
  <c r="H165" i="118"/>
  <c r="W99" i="118"/>
  <c r="J95" i="118"/>
  <c r="J112" i="118" s="1"/>
  <c r="U15" i="58" s="1"/>
  <c r="J112" i="70"/>
  <c r="I165" i="70"/>
  <c r="M148" i="70"/>
  <c r="I112" i="118"/>
  <c r="W99" i="70"/>
  <c r="K112" i="70"/>
  <c r="K95" i="118"/>
  <c r="K112" i="118" s="1"/>
  <c r="O15" i="54"/>
  <c r="N21" i="54"/>
  <c r="N23" i="54" s="1"/>
  <c r="N25" i="54" l="1"/>
  <c r="T17" i="58" s="1"/>
  <c r="O18" i="54"/>
  <c r="O19" i="54" s="1"/>
  <c r="P15" i="54" s="1"/>
  <c r="M95" i="118"/>
  <c r="M148" i="118"/>
  <c r="I165" i="118"/>
  <c r="M165" i="70"/>
  <c r="N148" i="70"/>
  <c r="P95" i="70"/>
  <c r="R95" i="70" s="1"/>
  <c r="O95" i="70"/>
  <c r="N112" i="70"/>
  <c r="O95" i="118" l="1"/>
  <c r="O112" i="118" s="1"/>
  <c r="V15" i="58" s="1"/>
  <c r="O112" i="70"/>
  <c r="M112" i="118"/>
  <c r="N95" i="118"/>
  <c r="P112" i="70"/>
  <c r="P95" i="118"/>
  <c r="P112" i="118" s="1"/>
  <c r="P18" i="54"/>
  <c r="P19" i="54" s="1"/>
  <c r="Q15" i="54" s="1"/>
  <c r="N165" i="70"/>
  <c r="R148" i="70"/>
  <c r="R112" i="70"/>
  <c r="S95" i="70"/>
  <c r="O21" i="54"/>
  <c r="O23" i="54" s="1"/>
  <c r="M165" i="118"/>
  <c r="N148" i="118"/>
  <c r="P21" i="54" l="1"/>
  <c r="P23" i="54" s="1"/>
  <c r="T95" i="70"/>
  <c r="S112" i="70"/>
  <c r="U95" i="70"/>
  <c r="R165" i="70"/>
  <c r="S148" i="70"/>
  <c r="R148" i="118"/>
  <c r="N165" i="118"/>
  <c r="O25" i="54"/>
  <c r="U17" i="58" s="1"/>
  <c r="R95" i="118"/>
  <c r="N112" i="118"/>
  <c r="S148" i="118" l="1"/>
  <c r="R165" i="118"/>
  <c r="R112" i="118"/>
  <c r="S95" i="118"/>
  <c r="W148" i="70"/>
  <c r="W165" i="70" s="1"/>
  <c r="S165" i="70"/>
  <c r="W95" i="70"/>
  <c r="W112" i="70" s="1"/>
  <c r="U95" i="118"/>
  <c r="U112" i="118" s="1"/>
  <c r="U112" i="70"/>
  <c r="T95" i="118"/>
  <c r="T112" i="118" s="1"/>
  <c r="T112" i="70"/>
  <c r="P25" i="54"/>
  <c r="V17" i="58" s="1"/>
  <c r="S112" i="118" l="1"/>
  <c r="W95" i="118"/>
  <c r="W112" i="118" s="1"/>
  <c r="W15" i="58"/>
  <c r="Q18" i="54"/>
  <c r="Q19" i="54" s="1"/>
  <c r="Q21" i="54" s="1"/>
  <c r="Q23" i="54" s="1"/>
  <c r="S165" i="118"/>
  <c r="W148" i="118"/>
  <c r="W165" i="118" s="1"/>
  <c r="Q25" i="54" l="1"/>
  <c r="W17" i="58" s="1"/>
  <c r="F16" i="58" l="1"/>
  <c r="H16" i="58"/>
  <c r="E14" i="78"/>
  <c r="L14" i="78" l="1"/>
  <c r="D14" i="78"/>
  <c r="G14" i="78" l="1"/>
  <c r="F14" i="78"/>
  <c r="F25" i="58"/>
  <c r="D21" i="78" s="1"/>
  <c r="E21" i="78"/>
  <c r="F21" i="78" l="1"/>
  <c r="L21" i="78"/>
  <c r="G21" i="78"/>
  <c r="F18" i="58" l="1"/>
  <c r="E15" i="78"/>
  <c r="G15" i="78" l="1"/>
  <c r="L15" i="78"/>
  <c r="F15" i="78"/>
  <c r="J16" i="58" l="1"/>
  <c r="L16" i="58" s="1"/>
  <c r="E43" i="78"/>
  <c r="L43" i="78" l="1"/>
  <c r="D43" i="78"/>
  <c r="J25" i="58" l="1"/>
  <c r="D50" i="78" s="1"/>
  <c r="E50" i="78"/>
  <c r="G43" i="78"/>
  <c r="F43" i="78"/>
  <c r="L50" i="78" l="1"/>
  <c r="G50" i="78"/>
  <c r="F50" i="78"/>
  <c r="J18" i="58" l="1"/>
  <c r="E44" i="78"/>
  <c r="F44" i="78" l="1"/>
  <c r="L44" i="78"/>
  <c r="G44" i="78"/>
  <c r="Q16" i="58" l="1"/>
  <c r="N16" i="58" l="1"/>
  <c r="R16" i="58"/>
  <c r="N25" i="58" l="1"/>
  <c r="N18" i="58" l="1"/>
  <c r="C31" i="72" l="1"/>
  <c r="J30" i="72"/>
  <c r="N30" i="72" l="1"/>
  <c r="N31" i="72" s="1"/>
  <c r="J31" i="72"/>
  <c r="G19" i="58" l="1"/>
  <c r="K19" i="58"/>
  <c r="K23" i="58" l="1"/>
  <c r="K27" i="58" s="1"/>
  <c r="H9" i="80"/>
  <c r="E45" i="78"/>
  <c r="E9" i="80"/>
  <c r="E16" i="78"/>
  <c r="G23" i="58"/>
  <c r="G27" i="58" s="1"/>
  <c r="E20" i="78" l="1"/>
  <c r="F28" i="61"/>
  <c r="F30" i="61" s="1"/>
  <c r="F34" i="61" s="1"/>
  <c r="F19" i="58" s="1"/>
  <c r="E49" i="78"/>
  <c r="H28" i="61"/>
  <c r="H30" i="61" s="1"/>
  <c r="H34" i="61" s="1"/>
  <c r="J19" i="58" s="1"/>
  <c r="E52" i="78" l="1"/>
  <c r="D5" i="100"/>
  <c r="D7" i="100" s="1"/>
  <c r="D9" i="80"/>
  <c r="D16" i="78"/>
  <c r="F23" i="58"/>
  <c r="F27" i="58" s="1"/>
  <c r="H19" i="58"/>
  <c r="H23" i="58" s="1"/>
  <c r="H27" i="58" s="1"/>
  <c r="E5" i="100"/>
  <c r="E7" i="100" s="1"/>
  <c r="G9" i="80"/>
  <c r="D45" i="78"/>
  <c r="J23" i="58"/>
  <c r="J27" i="58" s="1"/>
  <c r="L19" i="58"/>
  <c r="L23" i="58" s="1"/>
  <c r="L27" i="58" s="1"/>
  <c r="E23" i="78"/>
  <c r="D22" i="100" l="1"/>
  <c r="D28" i="100" s="1"/>
  <c r="D34" i="100" s="1"/>
  <c r="D20" i="100"/>
  <c r="D26" i="100" s="1"/>
  <c r="D32" i="100" s="1"/>
  <c r="D21" i="100"/>
  <c r="D19" i="100"/>
  <c r="D20" i="78"/>
  <c r="F16" i="78"/>
  <c r="G16" i="78"/>
  <c r="H16" i="78" s="1"/>
  <c r="L16" i="78" s="1"/>
  <c r="L20" i="78" s="1"/>
  <c r="L23" i="78" s="1"/>
  <c r="D49" i="78"/>
  <c r="G45" i="78"/>
  <c r="H45" i="78" s="1"/>
  <c r="L45" i="78" s="1"/>
  <c r="L49" i="78" s="1"/>
  <c r="L52" i="78" s="1"/>
  <c r="F45" i="78"/>
  <c r="F49" i="78" s="1"/>
  <c r="F52" i="78" s="1"/>
  <c r="E19" i="100"/>
  <c r="E22" i="100"/>
  <c r="E28" i="100" s="1"/>
  <c r="E34" i="100" s="1"/>
  <c r="E20" i="100"/>
  <c r="E26" i="100" s="1"/>
  <c r="E32" i="100" s="1"/>
  <c r="E21" i="100"/>
  <c r="E27" i="100" l="1"/>
  <c r="E39" i="100" s="1"/>
  <c r="E46" i="100" s="1"/>
  <c r="D52" i="78"/>
  <c r="G52" i="78" s="1"/>
  <c r="G49" i="78"/>
  <c r="D25" i="100"/>
  <c r="D37" i="100" s="1"/>
  <c r="D44" i="100" s="1"/>
  <c r="D27" i="100"/>
  <c r="D39" i="100" s="1"/>
  <c r="D46" i="100" s="1"/>
  <c r="E25" i="100"/>
  <c r="D23" i="78"/>
  <c r="G20" i="78"/>
  <c r="F20" i="78"/>
  <c r="D48" i="100" l="1"/>
  <c r="D8" i="100" s="1"/>
  <c r="F23" i="78"/>
  <c r="G23" i="78"/>
  <c r="E37" i="100"/>
  <c r="E44" i="100" s="1"/>
  <c r="E48" i="100" s="1"/>
  <c r="E8" i="100" s="1"/>
  <c r="E53" i="78" l="1"/>
  <c r="L53" i="78" s="1"/>
  <c r="L54" i="78" s="1"/>
  <c r="L60" i="78" s="1"/>
  <c r="E9" i="100"/>
  <c r="E10" i="100" s="1"/>
  <c r="E24" i="78"/>
  <c r="L24" i="78" s="1"/>
  <c r="L25" i="78" s="1"/>
  <c r="L31" i="78" s="1"/>
  <c r="D9" i="100"/>
  <c r="D10" i="100" s="1"/>
  <c r="F5" i="100"/>
  <c r="F7" i="100"/>
  <c r="F8" i="100"/>
  <c r="F9" i="100"/>
  <c r="F10" i="100"/>
  <c r="F19" i="100"/>
  <c r="F20" i="100"/>
  <c r="F21" i="100"/>
  <c r="F22" i="100"/>
  <c r="F25" i="100"/>
  <c r="F26" i="100"/>
  <c r="F27" i="100"/>
  <c r="F28" i="100"/>
  <c r="F32" i="100"/>
  <c r="F34" i="100"/>
  <c r="F37" i="100"/>
  <c r="F39" i="100"/>
  <c r="F44" i="100"/>
  <c r="F46" i="100"/>
  <c r="F48" i="100"/>
  <c r="N19" i="58"/>
  <c r="O19" i="58"/>
  <c r="P19" i="58"/>
  <c r="Q19" i="58"/>
  <c r="R19" i="58"/>
  <c r="S19" i="58"/>
  <c r="T19" i="58"/>
  <c r="U19" i="58"/>
  <c r="V19" i="58"/>
  <c r="W19" i="58"/>
  <c r="N23" i="58"/>
  <c r="O23" i="58"/>
  <c r="P23" i="58"/>
  <c r="Q23" i="58"/>
  <c r="R23" i="58"/>
  <c r="S23" i="58"/>
  <c r="T23" i="58"/>
  <c r="U23" i="58"/>
  <c r="V23" i="58"/>
  <c r="W23" i="58"/>
  <c r="N27" i="58"/>
  <c r="O27" i="58"/>
  <c r="P27" i="58"/>
  <c r="Q27" i="58"/>
  <c r="R27" i="58"/>
  <c r="S27" i="58"/>
  <c r="T27" i="58"/>
  <c r="U27" i="58"/>
  <c r="V27" i="58"/>
  <c r="W27" i="58"/>
  <c r="J9" i="80"/>
  <c r="K9" i="80"/>
  <c r="L9" i="80"/>
  <c r="M9" i="80"/>
  <c r="N9" i="80"/>
  <c r="O9" i="80"/>
  <c r="P9" i="80"/>
  <c r="J28" i="61"/>
  <c r="J30" i="61"/>
  <c r="J34" i="61"/>
  <c r="E67" i="61"/>
  <c r="F67" i="61"/>
  <c r="G67" i="61"/>
  <c r="H67" i="61"/>
  <c r="I67" i="61"/>
  <c r="E69" i="61"/>
  <c r="F69" i="61"/>
  <c r="G69" i="61"/>
  <c r="H69" i="61"/>
  <c r="I69" i="61"/>
  <c r="E73" i="61"/>
  <c r="F73" i="61"/>
  <c r="G73" i="61"/>
  <c r="H73" i="61"/>
  <c r="I73" i="61"/>
  <c r="C12" i="73"/>
  <c r="J12" i="73"/>
  <c r="N12" i="73"/>
  <c r="J14" i="73"/>
  <c r="N14" i="73"/>
  <c r="C23" i="73"/>
  <c r="J23" i="73"/>
  <c r="N23" i="73"/>
  <c r="J25" i="73"/>
  <c r="N25" i="73"/>
  <c r="C34" i="73"/>
  <c r="J34" i="73"/>
  <c r="N34" i="73"/>
  <c r="J36" i="73"/>
  <c r="N36" i="73"/>
  <c r="C44" i="73"/>
  <c r="J44" i="73"/>
  <c r="N44" i="73"/>
  <c r="J46" i="73"/>
  <c r="N46" i="73"/>
  <c r="C54" i="73"/>
  <c r="J54" i="73"/>
  <c r="N54" i="73"/>
  <c r="J56" i="73"/>
  <c r="N56" i="73"/>
  <c r="C11" i="74"/>
  <c r="J11" i="74"/>
  <c r="N11" i="74"/>
  <c r="J13" i="74"/>
  <c r="N13" i="74"/>
  <c r="C22" i="74"/>
  <c r="J22" i="74"/>
  <c r="N22" i="74"/>
  <c r="J24" i="74"/>
  <c r="N24" i="74"/>
  <c r="C31" i="74"/>
  <c r="J31" i="74"/>
  <c r="N31" i="74"/>
  <c r="J33" i="74"/>
  <c r="N33" i="74"/>
  <c r="C40" i="74"/>
  <c r="J40" i="74"/>
  <c r="N40" i="74"/>
  <c r="J42" i="74"/>
  <c r="N42" i="74"/>
  <c r="C49" i="74"/>
  <c r="J49" i="74"/>
  <c r="N49" i="74"/>
  <c r="J51" i="74"/>
  <c r="N51"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Anil Patkare</author>
  </authors>
  <commentList>
    <comment ref="N45" authorId="0" shapeId="0" xr:uid="{00000000-0006-0000-0100-000001000000}">
      <text>
        <r>
          <rPr>
            <b/>
            <sz val="9"/>
            <color indexed="81"/>
            <rFont val="Tahoma"/>
            <family val="2"/>
          </rPr>
          <t>Anil Patkare:</t>
        </r>
        <r>
          <rPr>
            <sz val="9"/>
            <color indexed="81"/>
            <rFont val="Tahoma"/>
            <family val="2"/>
          </rPr>
          <t xml:space="preserve">
Approved ECR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C22" authorId="0" shapeId="0" xr:uid="{00000000-0006-0000-0600-000001000000}">
      <text>
        <r>
          <rPr>
            <b/>
            <sz val="9"/>
            <color indexed="81"/>
            <rFont val="Tahoma"/>
            <family val="2"/>
          </rPr>
          <t>MercadosEMI:</t>
        </r>
        <r>
          <rPr>
            <sz val="9"/>
            <color indexed="81"/>
            <rFont val="Tahoma"/>
            <family val="2"/>
          </rPr>
          <t xml:space="preserve">
Sequence in the Summary model
</t>
        </r>
      </text>
    </comment>
    <comment ref="C39" authorId="0" shapeId="0" xr:uid="{00000000-0006-0000-0600-000002000000}">
      <text>
        <r>
          <rPr>
            <b/>
            <sz val="9"/>
            <color indexed="81"/>
            <rFont val="Tahoma"/>
            <family val="2"/>
          </rPr>
          <t>MercadosEMI:</t>
        </r>
        <r>
          <rPr>
            <sz val="9"/>
            <color indexed="81"/>
            <rFont val="Tahoma"/>
            <family val="2"/>
          </rPr>
          <t xml:space="preserve">
I have added this, it was not present in the original version</t>
        </r>
      </text>
    </comment>
    <comment ref="C53" authorId="0" shapeId="0" xr:uid="{00000000-0006-0000-0600-000003000000}">
      <text>
        <r>
          <rPr>
            <b/>
            <sz val="9"/>
            <color indexed="81"/>
            <rFont val="Tahoma"/>
            <family val="2"/>
          </rPr>
          <t>MercadosEMI:</t>
        </r>
        <r>
          <rPr>
            <sz val="9"/>
            <color indexed="81"/>
            <rFont val="Tahoma"/>
            <family val="2"/>
          </rPr>
          <t xml:space="preserve">
I have added this, it was not present in the original version</t>
        </r>
      </text>
    </comment>
    <comment ref="C67" authorId="0" shapeId="0" xr:uid="{00000000-0006-0000-0600-000004000000}">
      <text>
        <r>
          <rPr>
            <b/>
            <sz val="9"/>
            <color indexed="81"/>
            <rFont val="Tahoma"/>
            <family val="2"/>
          </rPr>
          <t>MercadosEMI:</t>
        </r>
        <r>
          <rPr>
            <sz val="9"/>
            <color indexed="81"/>
            <rFont val="Tahoma"/>
            <family val="2"/>
          </rPr>
          <t xml:space="preserve">
I have added this, it was not present in the original version</t>
        </r>
      </text>
    </comment>
    <comment ref="C81" authorId="0" shapeId="0" xr:uid="{00000000-0006-0000-0600-000005000000}">
      <text>
        <r>
          <rPr>
            <b/>
            <sz val="9"/>
            <color indexed="81"/>
            <rFont val="Tahoma"/>
            <family val="2"/>
          </rPr>
          <t>MercadosEMI:</t>
        </r>
        <r>
          <rPr>
            <sz val="9"/>
            <color indexed="81"/>
            <rFont val="Tahoma"/>
            <family val="2"/>
          </rPr>
          <t xml:space="preserve">
I have added this, it was not present in the original version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33" authorId="0" shapeId="0" xr:uid="{00000000-0006-0000-0E00-000001000000}">
      <text>
        <r>
          <rPr>
            <b/>
            <sz val="9"/>
            <color indexed="81"/>
            <rFont val="Tahoma"/>
            <family val="2"/>
          </rPr>
          <t>MercadosEMI:</t>
        </r>
        <r>
          <rPr>
            <sz val="9"/>
            <color indexed="81"/>
            <rFont val="Tahoma"/>
            <family val="2"/>
          </rPr>
          <t xml:space="preserve">
Interest on Staff welfare fund claimed as Emp Expenses</t>
        </r>
      </text>
    </comment>
    <comment ref="E33" authorId="0" shapeId="0" xr:uid="{00000000-0006-0000-0E00-000002000000}">
      <text>
        <r>
          <rPr>
            <b/>
            <sz val="9"/>
            <color indexed="81"/>
            <rFont val="Tahoma"/>
            <family val="2"/>
          </rPr>
          <t>MercadosEMI:</t>
        </r>
        <r>
          <rPr>
            <sz val="9"/>
            <color indexed="81"/>
            <rFont val="Tahoma"/>
            <family val="2"/>
          </rPr>
          <t xml:space="preserve">
Interest on Staff welfare fund claimed as Emp Expenses</t>
        </r>
      </text>
    </comment>
    <comment ref="F33" authorId="0" shapeId="0" xr:uid="{00000000-0006-0000-0E00-000003000000}">
      <text>
        <r>
          <rPr>
            <b/>
            <sz val="9"/>
            <color indexed="81"/>
            <rFont val="Tahoma"/>
            <family val="2"/>
          </rPr>
          <t>MercadosEMI:</t>
        </r>
        <r>
          <rPr>
            <sz val="9"/>
            <color indexed="81"/>
            <rFont val="Tahoma"/>
            <family val="2"/>
          </rPr>
          <t xml:space="preserve">
Interest on Staff welfare fund claimed as Emp Expenses</t>
        </r>
      </text>
    </comment>
    <comment ref="G33" authorId="0" shapeId="0" xr:uid="{00000000-0006-0000-0E00-000004000000}">
      <text>
        <r>
          <rPr>
            <b/>
            <sz val="9"/>
            <color indexed="81"/>
            <rFont val="Tahoma"/>
            <family val="2"/>
          </rPr>
          <t>MercadosEMI:</t>
        </r>
        <r>
          <rPr>
            <sz val="9"/>
            <color indexed="81"/>
            <rFont val="Tahoma"/>
            <family val="2"/>
          </rPr>
          <t xml:space="preserve">
Interest on Staff welfare fund claimed as Emp Expenses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20" authorId="0" shapeId="0" xr:uid="{00000000-0006-0000-0F00-000001000000}">
      <text>
        <r>
          <rPr>
            <b/>
            <sz val="9"/>
            <color indexed="81"/>
            <rFont val="Tahoma"/>
            <family val="2"/>
          </rPr>
          <t>MercadosEMI:</t>
        </r>
        <r>
          <rPr>
            <sz val="9"/>
            <color indexed="81"/>
            <rFont val="Tahoma"/>
            <family val="2"/>
          </rPr>
          <t xml:space="preserve">
Other Gen expenses-Security</t>
        </r>
      </text>
    </comment>
    <comment ref="E20" authorId="0" shapeId="0" xr:uid="{00000000-0006-0000-0F00-000002000000}">
      <text>
        <r>
          <rPr>
            <b/>
            <sz val="9"/>
            <color indexed="81"/>
            <rFont val="Tahoma"/>
            <family val="2"/>
          </rPr>
          <t>MercadosEMI:</t>
        </r>
        <r>
          <rPr>
            <sz val="9"/>
            <color indexed="81"/>
            <rFont val="Tahoma"/>
            <family val="2"/>
          </rPr>
          <t xml:space="preserve">
Other Gen expenses-Security</t>
        </r>
      </text>
    </comment>
    <comment ref="F20" authorId="0" shapeId="0" xr:uid="{00000000-0006-0000-0F00-000003000000}">
      <text>
        <r>
          <rPr>
            <b/>
            <sz val="9"/>
            <color indexed="81"/>
            <rFont val="Tahoma"/>
            <family val="2"/>
          </rPr>
          <t>MercadosEMI:</t>
        </r>
        <r>
          <rPr>
            <sz val="9"/>
            <color indexed="81"/>
            <rFont val="Tahoma"/>
            <family val="2"/>
          </rPr>
          <t xml:space="preserve">
Other Gen expenses-Security</t>
        </r>
      </text>
    </comment>
    <comment ref="G20" authorId="0" shapeId="0" xr:uid="{00000000-0006-0000-0F00-000004000000}">
      <text>
        <r>
          <rPr>
            <b/>
            <sz val="9"/>
            <color indexed="81"/>
            <rFont val="Tahoma"/>
            <family val="2"/>
          </rPr>
          <t>MercadosEMI:</t>
        </r>
        <r>
          <rPr>
            <sz val="9"/>
            <color indexed="81"/>
            <rFont val="Tahoma"/>
            <family val="2"/>
          </rPr>
          <t xml:space="preserve">
Other Gen expenses-Security</t>
        </r>
      </text>
    </comment>
    <comment ref="D39" authorId="0" shapeId="0" xr:uid="{00000000-0006-0000-0F00-000005000000}">
      <text>
        <r>
          <rPr>
            <b/>
            <sz val="9"/>
            <color indexed="81"/>
            <rFont val="Tahoma"/>
            <family val="2"/>
          </rPr>
          <t>MercadosEMI:</t>
        </r>
        <r>
          <rPr>
            <sz val="9"/>
            <color indexed="81"/>
            <rFont val="Tahoma"/>
            <family val="2"/>
          </rPr>
          <t xml:space="preserve">
Fees</t>
        </r>
      </text>
    </comment>
    <comment ref="E39" authorId="0" shapeId="0" xr:uid="{00000000-0006-0000-0F00-000006000000}">
      <text>
        <r>
          <rPr>
            <b/>
            <sz val="9"/>
            <color indexed="81"/>
            <rFont val="Tahoma"/>
            <family val="2"/>
          </rPr>
          <t>MercadosEMI:</t>
        </r>
        <r>
          <rPr>
            <sz val="9"/>
            <color indexed="81"/>
            <rFont val="Tahoma"/>
            <family val="2"/>
          </rPr>
          <t xml:space="preserve">
Fees</t>
        </r>
      </text>
    </comment>
    <comment ref="F39" authorId="0" shapeId="0" xr:uid="{00000000-0006-0000-0F00-000007000000}">
      <text>
        <r>
          <rPr>
            <b/>
            <sz val="9"/>
            <color indexed="81"/>
            <rFont val="Tahoma"/>
            <family val="2"/>
          </rPr>
          <t>MercadosEMI:</t>
        </r>
        <r>
          <rPr>
            <sz val="9"/>
            <color indexed="81"/>
            <rFont val="Tahoma"/>
            <family val="2"/>
          </rPr>
          <t xml:space="preserve">
Fees</t>
        </r>
      </text>
    </comment>
    <comment ref="G39" authorId="0" shapeId="0" xr:uid="{00000000-0006-0000-0F00-000008000000}">
      <text>
        <r>
          <rPr>
            <b/>
            <sz val="9"/>
            <color indexed="81"/>
            <rFont val="Tahoma"/>
            <family val="2"/>
          </rPr>
          <t>MercadosEMI:</t>
        </r>
        <r>
          <rPr>
            <sz val="9"/>
            <color indexed="81"/>
            <rFont val="Tahoma"/>
            <family val="2"/>
          </rPr>
          <t xml:space="preserve">
Fees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C19" authorId="0" shapeId="0" xr:uid="{00000000-0006-0000-1000-000001000000}">
      <text>
        <r>
          <rPr>
            <b/>
            <sz val="9"/>
            <color indexed="81"/>
            <rFont val="Tahoma"/>
            <family val="2"/>
          </rPr>
          <t>MercadosEMI:</t>
        </r>
        <r>
          <rPr>
            <sz val="9"/>
            <color indexed="81"/>
            <rFont val="Tahoma"/>
            <family val="2"/>
          </rPr>
          <t xml:space="preserve">
Added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HP</author>
    <author>SUSHANT</author>
  </authors>
  <commentList>
    <comment ref="M4" authorId="0" shapeId="0" xr:uid="{246FED82-F2C1-44E6-B16C-DF703B9AC4DC}">
      <text>
        <r>
          <rPr>
            <b/>
            <sz val="9"/>
            <color indexed="81"/>
            <rFont val="Tahoma"/>
            <family val="2"/>
          </rPr>
          <t xml:space="preserve">SSP-RCD
</t>
        </r>
        <r>
          <rPr>
            <sz val="9"/>
            <color indexed="81"/>
            <rFont val="Tahoma"/>
            <family val="2"/>
          </rPr>
          <t>As per the implementation plan submitted in the DPR/ Approved by MERC</t>
        </r>
      </text>
    </comment>
    <comment ref="H69" authorId="1" shapeId="0" xr:uid="{46824FD7-3DA1-4111-8A71-5934EBD7886A}">
      <text>
        <r>
          <rPr>
            <b/>
            <sz val="9"/>
            <color indexed="81"/>
            <rFont val="Tahoma"/>
            <family val="2"/>
          </rPr>
          <t>SUSHANT:</t>
        </r>
        <r>
          <rPr>
            <sz val="9"/>
            <color indexed="81"/>
            <rFont val="Tahoma"/>
            <family val="2"/>
          </rPr>
          <t xml:space="preserve">
2 quantity proposed, 1 approved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Anil Patkare</author>
    <author>MercadosEMI</author>
  </authors>
  <commentList>
    <comment ref="D25" authorId="0" shapeId="0" xr:uid="{00000000-0006-0000-1800-000001000000}">
      <text>
        <r>
          <rPr>
            <b/>
            <sz val="9"/>
            <color indexed="81"/>
            <rFont val="Tahoma"/>
            <family val="2"/>
          </rPr>
          <t>Anil Patkare:</t>
        </r>
        <r>
          <rPr>
            <sz val="9"/>
            <color indexed="81"/>
            <rFont val="Tahoma"/>
            <family val="2"/>
          </rPr>
          <t xml:space="preserve">
Similar to above numbers of normative loan, for remaining years to be udpated</t>
        </r>
      </text>
    </comment>
    <comment ref="E145" authorId="1" shapeId="0" xr:uid="{00000000-0006-0000-1800-000002000000}">
      <text>
        <r>
          <rPr>
            <b/>
            <sz val="9"/>
            <color indexed="81"/>
            <rFont val="Tahoma"/>
            <family val="2"/>
          </rPr>
          <t>MercadosEMI:</t>
        </r>
        <r>
          <rPr>
            <sz val="9"/>
            <color indexed="81"/>
            <rFont val="Tahoma"/>
            <family val="2"/>
          </rPr>
          <t xml:space="preserve">
Formuka was missing
</t>
        </r>
      </text>
    </comment>
    <comment ref="H145" authorId="1" shapeId="0" xr:uid="{00000000-0006-0000-1800-000003000000}">
      <text>
        <r>
          <rPr>
            <b/>
            <sz val="9"/>
            <color indexed="81"/>
            <rFont val="Tahoma"/>
            <family val="2"/>
          </rPr>
          <t>MercadosEMI:</t>
        </r>
        <r>
          <rPr>
            <sz val="9"/>
            <color indexed="81"/>
            <rFont val="Tahoma"/>
            <family val="2"/>
          </rPr>
          <t xml:space="preserve">
Formuka was missing
</t>
        </r>
      </text>
    </comment>
    <comment ref="E155" authorId="1" shapeId="0" xr:uid="{00000000-0006-0000-1800-000004000000}">
      <text>
        <r>
          <rPr>
            <b/>
            <sz val="9"/>
            <color indexed="81"/>
            <rFont val="Tahoma"/>
            <family val="2"/>
          </rPr>
          <t>MercadosEMI:</t>
        </r>
        <r>
          <rPr>
            <sz val="9"/>
            <color indexed="81"/>
            <rFont val="Tahoma"/>
            <family val="2"/>
          </rPr>
          <t xml:space="preserve">
Formuka was missing
</t>
        </r>
      </text>
    </comment>
    <comment ref="H155" authorId="1" shapeId="0" xr:uid="{00000000-0006-0000-1800-000005000000}">
      <text>
        <r>
          <rPr>
            <b/>
            <sz val="9"/>
            <color indexed="81"/>
            <rFont val="Tahoma"/>
            <family val="2"/>
          </rPr>
          <t>MercadosEMI:</t>
        </r>
        <r>
          <rPr>
            <sz val="9"/>
            <color indexed="81"/>
            <rFont val="Tahoma"/>
            <family val="2"/>
          </rPr>
          <t xml:space="preserve">
Formuka was missing
</t>
        </r>
      </text>
    </comment>
    <comment ref="E165" authorId="1" shapeId="0" xr:uid="{00000000-0006-0000-1800-000006000000}">
      <text>
        <r>
          <rPr>
            <b/>
            <sz val="9"/>
            <color indexed="81"/>
            <rFont val="Tahoma"/>
            <family val="2"/>
          </rPr>
          <t>MercadosEMI:</t>
        </r>
        <r>
          <rPr>
            <sz val="9"/>
            <color indexed="81"/>
            <rFont val="Tahoma"/>
            <family val="2"/>
          </rPr>
          <t xml:space="preserve">
Formuka was missing
</t>
        </r>
      </text>
    </comment>
    <comment ref="H165" authorId="1" shapeId="0" xr:uid="{00000000-0006-0000-1800-000007000000}">
      <text>
        <r>
          <rPr>
            <b/>
            <sz val="9"/>
            <color indexed="81"/>
            <rFont val="Tahoma"/>
            <family val="2"/>
          </rPr>
          <t>MercadosEMI:</t>
        </r>
        <r>
          <rPr>
            <sz val="9"/>
            <color indexed="81"/>
            <rFont val="Tahoma"/>
            <family val="2"/>
          </rPr>
          <t xml:space="preserve">
Formuka was missing
</t>
        </r>
      </text>
    </comment>
    <comment ref="E175" authorId="1" shapeId="0" xr:uid="{00000000-0006-0000-1800-000008000000}">
      <text>
        <r>
          <rPr>
            <b/>
            <sz val="9"/>
            <color indexed="81"/>
            <rFont val="Tahoma"/>
            <family val="2"/>
          </rPr>
          <t>MercadosEMI:</t>
        </r>
        <r>
          <rPr>
            <sz val="9"/>
            <color indexed="81"/>
            <rFont val="Tahoma"/>
            <family val="2"/>
          </rPr>
          <t xml:space="preserve">
Formuka was missing
</t>
        </r>
      </text>
    </comment>
    <comment ref="H175" authorId="1" shapeId="0" xr:uid="{00000000-0006-0000-1800-000009000000}">
      <text>
        <r>
          <rPr>
            <b/>
            <sz val="9"/>
            <color indexed="81"/>
            <rFont val="Tahoma"/>
            <family val="2"/>
          </rPr>
          <t>MercadosEMI:</t>
        </r>
        <r>
          <rPr>
            <sz val="9"/>
            <color indexed="81"/>
            <rFont val="Tahoma"/>
            <family val="2"/>
          </rPr>
          <t xml:space="preserve">
Formuka was missing
</t>
        </r>
      </text>
    </comment>
    <comment ref="E185" authorId="1" shapeId="0" xr:uid="{00000000-0006-0000-1800-00000A000000}">
      <text>
        <r>
          <rPr>
            <b/>
            <sz val="9"/>
            <color indexed="81"/>
            <rFont val="Tahoma"/>
            <family val="2"/>
          </rPr>
          <t>MercadosEMI:</t>
        </r>
        <r>
          <rPr>
            <sz val="9"/>
            <color indexed="81"/>
            <rFont val="Tahoma"/>
            <family val="2"/>
          </rPr>
          <t xml:space="preserve">
Formuka was missing
</t>
        </r>
      </text>
    </comment>
    <comment ref="H185" authorId="1" shapeId="0" xr:uid="{00000000-0006-0000-1800-00000B000000}">
      <text>
        <r>
          <rPr>
            <b/>
            <sz val="9"/>
            <color indexed="81"/>
            <rFont val="Tahoma"/>
            <family val="2"/>
          </rPr>
          <t>MercadosEMI:</t>
        </r>
        <r>
          <rPr>
            <sz val="9"/>
            <color indexed="81"/>
            <rFont val="Tahoma"/>
            <family val="2"/>
          </rPr>
          <t xml:space="preserve">
Formuka was missing
</t>
        </r>
      </text>
    </comment>
    <comment ref="E195" authorId="1" shapeId="0" xr:uid="{00000000-0006-0000-1800-00000C000000}">
      <text>
        <r>
          <rPr>
            <b/>
            <sz val="9"/>
            <color indexed="81"/>
            <rFont val="Tahoma"/>
            <family val="2"/>
          </rPr>
          <t>MercadosEMI:</t>
        </r>
        <r>
          <rPr>
            <sz val="9"/>
            <color indexed="81"/>
            <rFont val="Tahoma"/>
            <family val="2"/>
          </rPr>
          <t xml:space="preserve">
Formuka was missing
</t>
        </r>
      </text>
    </comment>
    <comment ref="H195" authorId="1" shapeId="0" xr:uid="{00000000-0006-0000-1800-00000D000000}">
      <text>
        <r>
          <rPr>
            <b/>
            <sz val="9"/>
            <color indexed="81"/>
            <rFont val="Tahoma"/>
            <family val="2"/>
          </rPr>
          <t>MercadosEMI:</t>
        </r>
        <r>
          <rPr>
            <sz val="9"/>
            <color indexed="81"/>
            <rFont val="Tahoma"/>
            <family val="2"/>
          </rPr>
          <t xml:space="preserve">
Formuka was missing
</t>
        </r>
      </text>
    </comment>
    <comment ref="E205" authorId="1" shapeId="0" xr:uid="{00000000-0006-0000-1800-00000E000000}">
      <text>
        <r>
          <rPr>
            <b/>
            <sz val="9"/>
            <color indexed="81"/>
            <rFont val="Tahoma"/>
            <family val="2"/>
          </rPr>
          <t>MercadosEMI:</t>
        </r>
        <r>
          <rPr>
            <sz val="9"/>
            <color indexed="81"/>
            <rFont val="Tahoma"/>
            <family val="2"/>
          </rPr>
          <t xml:space="preserve">
Formuka was missing
</t>
        </r>
      </text>
    </comment>
    <comment ref="H205" authorId="1" shapeId="0" xr:uid="{00000000-0006-0000-1800-00000F000000}">
      <text>
        <r>
          <rPr>
            <b/>
            <sz val="9"/>
            <color indexed="81"/>
            <rFont val="Tahoma"/>
            <family val="2"/>
          </rPr>
          <t>MercadosEMI:</t>
        </r>
        <r>
          <rPr>
            <sz val="9"/>
            <color indexed="81"/>
            <rFont val="Tahoma"/>
            <family val="2"/>
          </rPr>
          <t xml:space="preserve">
Formuka was missing
</t>
        </r>
      </text>
    </comment>
    <comment ref="E215" authorId="1" shapeId="0" xr:uid="{00000000-0006-0000-1800-000010000000}">
      <text>
        <r>
          <rPr>
            <b/>
            <sz val="9"/>
            <color indexed="81"/>
            <rFont val="Tahoma"/>
            <family val="2"/>
          </rPr>
          <t>MercadosEMI:</t>
        </r>
        <r>
          <rPr>
            <sz val="9"/>
            <color indexed="81"/>
            <rFont val="Tahoma"/>
            <family val="2"/>
          </rPr>
          <t xml:space="preserve">
Formuka was missing
</t>
        </r>
      </text>
    </comment>
    <comment ref="H215" authorId="1" shapeId="0" xr:uid="{00000000-0006-0000-1800-000011000000}">
      <text>
        <r>
          <rPr>
            <b/>
            <sz val="9"/>
            <color indexed="81"/>
            <rFont val="Tahoma"/>
            <family val="2"/>
          </rPr>
          <t>MercadosEMI:</t>
        </r>
        <r>
          <rPr>
            <sz val="9"/>
            <color indexed="81"/>
            <rFont val="Tahoma"/>
            <family val="2"/>
          </rPr>
          <t xml:space="preserve">
Formuka was missing
</t>
        </r>
      </text>
    </comment>
    <comment ref="E225" authorId="1" shapeId="0" xr:uid="{00000000-0006-0000-1800-000012000000}">
      <text>
        <r>
          <rPr>
            <b/>
            <sz val="9"/>
            <color indexed="81"/>
            <rFont val="Tahoma"/>
            <family val="2"/>
          </rPr>
          <t>MercadosEMI:</t>
        </r>
        <r>
          <rPr>
            <sz val="9"/>
            <color indexed="81"/>
            <rFont val="Tahoma"/>
            <family val="2"/>
          </rPr>
          <t xml:space="preserve">
Formuka was missing
</t>
        </r>
      </text>
    </comment>
    <comment ref="H225" authorId="1" shapeId="0" xr:uid="{00000000-0006-0000-1800-000013000000}">
      <text>
        <r>
          <rPr>
            <b/>
            <sz val="9"/>
            <color indexed="81"/>
            <rFont val="Tahoma"/>
            <family val="2"/>
          </rPr>
          <t>MercadosEMI:</t>
        </r>
        <r>
          <rPr>
            <sz val="9"/>
            <color indexed="81"/>
            <rFont val="Tahoma"/>
            <family val="2"/>
          </rPr>
          <t xml:space="preserve">
Formuka was missing
</t>
        </r>
      </text>
    </comment>
    <comment ref="E235" authorId="1" shapeId="0" xr:uid="{00000000-0006-0000-1800-000014000000}">
      <text>
        <r>
          <rPr>
            <b/>
            <sz val="9"/>
            <color indexed="81"/>
            <rFont val="Tahoma"/>
            <family val="2"/>
          </rPr>
          <t>MercadosEMI:</t>
        </r>
        <r>
          <rPr>
            <sz val="9"/>
            <color indexed="81"/>
            <rFont val="Tahoma"/>
            <family val="2"/>
          </rPr>
          <t xml:space="preserve">
Formuka was missing
</t>
        </r>
      </text>
    </comment>
    <comment ref="H235" authorId="1" shapeId="0" xr:uid="{00000000-0006-0000-1800-000015000000}">
      <text>
        <r>
          <rPr>
            <b/>
            <sz val="9"/>
            <color indexed="81"/>
            <rFont val="Tahoma"/>
            <family val="2"/>
          </rPr>
          <t>MercadosEMI:</t>
        </r>
        <r>
          <rPr>
            <sz val="9"/>
            <color indexed="81"/>
            <rFont val="Tahoma"/>
            <family val="2"/>
          </rPr>
          <t xml:space="preserve">
Formuka was missing
</t>
        </r>
      </text>
    </comment>
    <comment ref="E245" authorId="1" shapeId="0" xr:uid="{00000000-0006-0000-1800-000016000000}">
      <text>
        <r>
          <rPr>
            <b/>
            <sz val="9"/>
            <color indexed="81"/>
            <rFont val="Tahoma"/>
            <family val="2"/>
          </rPr>
          <t>MercadosEMI:</t>
        </r>
        <r>
          <rPr>
            <sz val="9"/>
            <color indexed="81"/>
            <rFont val="Tahoma"/>
            <family val="2"/>
          </rPr>
          <t xml:space="preserve">
Formuka was missing
</t>
        </r>
      </text>
    </comment>
    <comment ref="H245" authorId="1" shapeId="0" xr:uid="{00000000-0006-0000-1800-000017000000}">
      <text>
        <r>
          <rPr>
            <b/>
            <sz val="9"/>
            <color indexed="81"/>
            <rFont val="Tahoma"/>
            <family val="2"/>
          </rPr>
          <t>MercadosEMI:</t>
        </r>
        <r>
          <rPr>
            <sz val="9"/>
            <color indexed="81"/>
            <rFont val="Tahoma"/>
            <family val="2"/>
          </rPr>
          <t xml:space="preserve">
Formuka was missing
</t>
        </r>
      </text>
    </comment>
    <comment ref="E255" authorId="1" shapeId="0" xr:uid="{00000000-0006-0000-1800-000018000000}">
      <text>
        <r>
          <rPr>
            <b/>
            <sz val="9"/>
            <color indexed="81"/>
            <rFont val="Tahoma"/>
            <family val="2"/>
          </rPr>
          <t>MercadosEMI:</t>
        </r>
        <r>
          <rPr>
            <sz val="9"/>
            <color indexed="81"/>
            <rFont val="Tahoma"/>
            <family val="2"/>
          </rPr>
          <t xml:space="preserve">
Formuka was missing
</t>
        </r>
      </text>
    </comment>
    <comment ref="H255" authorId="1" shapeId="0" xr:uid="{00000000-0006-0000-1800-000019000000}">
      <text>
        <r>
          <rPr>
            <b/>
            <sz val="9"/>
            <color indexed="81"/>
            <rFont val="Tahoma"/>
            <family val="2"/>
          </rPr>
          <t>MercadosEMI:</t>
        </r>
        <r>
          <rPr>
            <sz val="9"/>
            <color indexed="81"/>
            <rFont val="Tahoma"/>
            <family val="2"/>
          </rPr>
          <t xml:space="preserve">
Formuka was missing
</t>
        </r>
      </text>
    </comment>
    <comment ref="E289" authorId="1" shapeId="0" xr:uid="{00000000-0006-0000-1800-00001A000000}">
      <text>
        <r>
          <rPr>
            <b/>
            <sz val="9"/>
            <color indexed="81"/>
            <rFont val="Tahoma"/>
            <family val="2"/>
          </rPr>
          <t>MercadosEMI:</t>
        </r>
        <r>
          <rPr>
            <sz val="9"/>
            <color indexed="81"/>
            <rFont val="Tahoma"/>
            <family val="2"/>
          </rPr>
          <t xml:space="preserve">
Formuka was missing
</t>
        </r>
      </text>
    </comment>
    <comment ref="E299" authorId="1" shapeId="0" xr:uid="{00000000-0006-0000-1800-00001B000000}">
      <text>
        <r>
          <rPr>
            <b/>
            <sz val="9"/>
            <color indexed="81"/>
            <rFont val="Tahoma"/>
            <family val="2"/>
          </rPr>
          <t>MercadosEMI:</t>
        </r>
        <r>
          <rPr>
            <sz val="9"/>
            <color indexed="81"/>
            <rFont val="Tahoma"/>
            <family val="2"/>
          </rPr>
          <t xml:space="preserve">
Formuka was missing
</t>
        </r>
      </text>
    </comment>
  </commentList>
</comments>
</file>

<file path=xl/sharedStrings.xml><?xml version="1.0" encoding="utf-8"?>
<sst xmlns="http://schemas.openxmlformats.org/spreadsheetml/2006/main" count="7292" uniqueCount="1750">
  <si>
    <t>Project Details</t>
  </si>
  <si>
    <t>Project Title</t>
  </si>
  <si>
    <t>Project Start Date</t>
  </si>
  <si>
    <t>TOTAL</t>
  </si>
  <si>
    <t>Project Purpose</t>
  </si>
  <si>
    <t>Reference</t>
  </si>
  <si>
    <t>S.No.</t>
  </si>
  <si>
    <t>Actual</t>
  </si>
  <si>
    <t>Project Completion date 
(Scheduled)</t>
  </si>
  <si>
    <t>Revised</t>
  </si>
  <si>
    <t>(Rs. Crore)</t>
  </si>
  <si>
    <t>Original</t>
  </si>
  <si>
    <t>Estimated</t>
  </si>
  <si>
    <t>Form 1</t>
  </si>
  <si>
    <t xml:space="preserve">Capital Expenditure Plan </t>
  </si>
  <si>
    <t>Title</t>
  </si>
  <si>
    <t>Project Code</t>
  </si>
  <si>
    <t>Benefits in Quantified Terms</t>
  </si>
  <si>
    <t>Capitalisation</t>
  </si>
  <si>
    <t>Debt Equity Ratio</t>
  </si>
  <si>
    <t>Physical Progress (%)</t>
  </si>
  <si>
    <t>Projected</t>
  </si>
  <si>
    <t>Capital Expenditure</t>
  </si>
  <si>
    <t>a) DPR Schemes</t>
  </si>
  <si>
    <t>(i) In-principle approved by MERC</t>
  </si>
  <si>
    <t>…</t>
  </si>
  <si>
    <t>Approved</t>
  </si>
  <si>
    <t>Source of Loan</t>
  </si>
  <si>
    <t>Remarks</t>
  </si>
  <si>
    <t>Audited</t>
  </si>
  <si>
    <t>Opening Balance of Loan</t>
  </si>
  <si>
    <t>Loan Repayment during the year</t>
  </si>
  <si>
    <t>Closing Balance of Loan</t>
  </si>
  <si>
    <t>Applicable Interest Rate (%)</t>
  </si>
  <si>
    <t>Interest Expenses</t>
  </si>
  <si>
    <t>Gross Interest Expenses</t>
  </si>
  <si>
    <t>Less: Expenses Capitalised</t>
  </si>
  <si>
    <t xml:space="preserve">Net Interest Expenses </t>
  </si>
  <si>
    <t>Particulars</t>
  </si>
  <si>
    <t>Reduction in Equity Capital on account of retirement / replacement of assets</t>
  </si>
  <si>
    <t>Regulatory Equity at the end of the year</t>
  </si>
  <si>
    <t>Form 3</t>
  </si>
  <si>
    <t>Form 4</t>
  </si>
  <si>
    <t>Return on Regulatory Equity</t>
  </si>
  <si>
    <t>Total Capitalisation</t>
  </si>
  <si>
    <t>Expenses Capitalised</t>
  </si>
  <si>
    <t>Interest Capitalised</t>
  </si>
  <si>
    <t>Works Capitalised</t>
  </si>
  <si>
    <t>Closing CWIP</t>
  </si>
  <si>
    <t>Capital Work in Progress</t>
  </si>
  <si>
    <t>Investment during the year</t>
  </si>
  <si>
    <t>Opening CWIP</t>
  </si>
  <si>
    <t>Approved Project Cost</t>
  </si>
  <si>
    <t xml:space="preserve">Form 6: Interest Expenses </t>
  </si>
  <si>
    <t>Aggregate Revenue Requirement - Summary Sheet</t>
  </si>
  <si>
    <t>Energy Charges for Thermal Generation</t>
  </si>
  <si>
    <t>Form 2.1</t>
  </si>
  <si>
    <t>Form 2.2</t>
  </si>
  <si>
    <t>Interest on Working Capital - Thermal Generation</t>
  </si>
  <si>
    <t xml:space="preserve">Form 2.3 </t>
  </si>
  <si>
    <t>Operational Parameters - Hydel Generation</t>
  </si>
  <si>
    <t>Form 2.4</t>
  </si>
  <si>
    <t>Interest on Working Capital - Hydel Generation</t>
  </si>
  <si>
    <t>Form 2.5</t>
  </si>
  <si>
    <t>Planned &amp; Forced Outages</t>
  </si>
  <si>
    <t>Form 2.6</t>
  </si>
  <si>
    <t>Summary of Operations and Maintenance Expenses</t>
  </si>
  <si>
    <t>Form 3.1</t>
  </si>
  <si>
    <t>Form 3.2</t>
  </si>
  <si>
    <t>Form 3.3</t>
  </si>
  <si>
    <t>Form 3.4</t>
  </si>
  <si>
    <t>Form 5</t>
  </si>
  <si>
    <t>Form 6</t>
  </si>
  <si>
    <t>Sales Forecast</t>
  </si>
  <si>
    <t>Form 7</t>
  </si>
  <si>
    <t>Form 8</t>
  </si>
  <si>
    <t>Form 9</t>
  </si>
  <si>
    <t>Form 10</t>
  </si>
  <si>
    <t>Form 11</t>
  </si>
  <si>
    <t>Form 1:  Aggregate Revenue Requirement - Summary Sheet</t>
  </si>
  <si>
    <t>April-March      (Audited )</t>
  </si>
  <si>
    <t>April - March (Estimated)</t>
  </si>
  <si>
    <t>(a)</t>
  </si>
  <si>
    <t>(b)</t>
  </si>
  <si>
    <t>Fuel Related Expenses</t>
  </si>
  <si>
    <t>Operation &amp; Maintenance Expenses</t>
  </si>
  <si>
    <t>Depreciation Expenses</t>
  </si>
  <si>
    <t>Interest on Long-term Loan Capital</t>
  </si>
  <si>
    <t>Interest on Working Capital</t>
  </si>
  <si>
    <t xml:space="preserve">Other Expenses </t>
  </si>
  <si>
    <t>Income Tax</t>
  </si>
  <si>
    <t>Total Revenue Expenditure</t>
  </si>
  <si>
    <t>Add: Return on Equity Capital</t>
  </si>
  <si>
    <t>Less: Non-Tariff Income</t>
  </si>
  <si>
    <t>Aggregate Revenue Requirement</t>
  </si>
  <si>
    <t>Units</t>
  </si>
  <si>
    <t>Operational Parameters</t>
  </si>
  <si>
    <t>Total Capacity</t>
  </si>
  <si>
    <t>MW</t>
  </si>
  <si>
    <t>Target Availability for full recovery of AFC</t>
  </si>
  <si>
    <t>%</t>
  </si>
  <si>
    <t>Target PLF for Incentive</t>
  </si>
  <si>
    <t>MU</t>
  </si>
  <si>
    <t>Net Generation</t>
  </si>
  <si>
    <t>Normative Gross Station Heat Rate</t>
  </si>
  <si>
    <t>kcal/kWh</t>
  </si>
  <si>
    <t>Normative Secondary Fuel Oil Consumption</t>
  </si>
  <si>
    <t>ml/kWh</t>
  </si>
  <si>
    <t>Normative Transit Loss</t>
  </si>
  <si>
    <t>Fuel Parameters (for each primary and secondary fuel)</t>
  </si>
  <si>
    <t>2.1.1</t>
  </si>
  <si>
    <t>kcal/unit</t>
  </si>
  <si>
    <t>2.1.2</t>
  </si>
  <si>
    <t>Fuel 2</t>
  </si>
  <si>
    <t>2.1.3</t>
  </si>
  <si>
    <t>Fuel 3</t>
  </si>
  <si>
    <t>Landed Fuel Price per unit</t>
  </si>
  <si>
    <t>2.2.1</t>
  </si>
  <si>
    <t>Rs/unit</t>
  </si>
  <si>
    <t>2.2.2</t>
  </si>
  <si>
    <t>2.2.3</t>
  </si>
  <si>
    <t>Fuel Consumption and Heat Contribution (for each fuel separately)</t>
  </si>
  <si>
    <t>Specific Fuel Consumption</t>
  </si>
  <si>
    <t>3.1.1</t>
  </si>
  <si>
    <t>3.1.2</t>
  </si>
  <si>
    <t>3.1.3</t>
  </si>
  <si>
    <t>Total Fuel Consumption</t>
  </si>
  <si>
    <t>3.2.1</t>
  </si>
  <si>
    <t>3.2.2</t>
  </si>
  <si>
    <t>3.2.3</t>
  </si>
  <si>
    <t>Heat Content (each fuel separately)</t>
  </si>
  <si>
    <t>3.3.1</t>
  </si>
  <si>
    <t>Million kcal</t>
  </si>
  <si>
    <t>3.3.2</t>
  </si>
  <si>
    <t>3.3.3</t>
  </si>
  <si>
    <t>Total Fuel Cost</t>
  </si>
  <si>
    <t>Rs Crore</t>
  </si>
  <si>
    <t>Other Charges and Adjustments</t>
  </si>
  <si>
    <t>Total Other Charges and Adjustments</t>
  </si>
  <si>
    <t>Rs/kWh</t>
  </si>
  <si>
    <t>Unit</t>
  </si>
  <si>
    <t>Basic Cost</t>
  </si>
  <si>
    <t>Taxes and Duties (pl. specify details)</t>
  </si>
  <si>
    <t>Any other charges</t>
  </si>
  <si>
    <t>Transit Loss</t>
  </si>
  <si>
    <t xml:space="preserve">Note: </t>
  </si>
  <si>
    <t>Norm</t>
  </si>
  <si>
    <r>
      <t>Cost of Secondary Fuel Oil</t>
    </r>
    <r>
      <rPr>
        <vertAlign val="superscript"/>
        <sz val="11"/>
        <rFont val="Times New Roman"/>
        <family val="1"/>
      </rPr>
      <t>1</t>
    </r>
  </si>
  <si>
    <r>
      <t>Fuel Cost</t>
    </r>
    <r>
      <rPr>
        <vertAlign val="superscript"/>
        <sz val="11"/>
        <rFont val="Times New Roman"/>
        <family val="1"/>
      </rPr>
      <t>3</t>
    </r>
  </si>
  <si>
    <r>
      <t>Liquid Fuel Stock</t>
    </r>
    <r>
      <rPr>
        <vertAlign val="superscript"/>
        <sz val="11"/>
        <rFont val="Times New Roman"/>
        <family val="1"/>
      </rPr>
      <t>3</t>
    </r>
  </si>
  <si>
    <t xml:space="preserve">Maintenance Spares </t>
  </si>
  <si>
    <t>Receivables</t>
  </si>
  <si>
    <t>Total Working Capital requirement</t>
  </si>
  <si>
    <t>Computation of working capital interest</t>
  </si>
  <si>
    <t>For Coal based/Lignite based generating stations</t>
  </si>
  <si>
    <t>For Oil based generating stations</t>
  </si>
  <si>
    <t>For Gas Turbine/Combined Cycle generating stations duly taking into account the mode of operation on gas fuel and liquid fuel</t>
  </si>
  <si>
    <t>NAPAF</t>
  </si>
  <si>
    <t>Design Energy</t>
  </si>
  <si>
    <t>Gross Generation</t>
  </si>
  <si>
    <t>Auxiliary Energy Consumption</t>
  </si>
  <si>
    <t xml:space="preserve">Submit this form for each station separately </t>
  </si>
  <si>
    <t>Notes:</t>
  </si>
  <si>
    <t>A.</t>
  </si>
  <si>
    <t>Planned Outages</t>
  </si>
  <si>
    <t>No of days of outage</t>
  </si>
  <si>
    <t>Period of Outage</t>
  </si>
  <si>
    <t>Reasons for Outage</t>
  </si>
  <si>
    <t>B.</t>
  </si>
  <si>
    <t>Forced Outages</t>
  </si>
  <si>
    <t xml:space="preserve">Reasons for Outage </t>
  </si>
  <si>
    <t>……</t>
  </si>
  <si>
    <t>…….</t>
  </si>
  <si>
    <t>A</t>
  </si>
  <si>
    <t>O&amp;M Expenses</t>
  </si>
  <si>
    <t>Employee Expenses</t>
  </si>
  <si>
    <t xml:space="preserve">R&amp;M Expenses </t>
  </si>
  <si>
    <t xml:space="preserve">A&amp;G Expenses </t>
  </si>
  <si>
    <t>Total O&amp;M Expense capitalised</t>
  </si>
  <si>
    <t>A. For Existing Generating Stations</t>
  </si>
  <si>
    <t xml:space="preserve">Employee Expenses </t>
  </si>
  <si>
    <t>Total O&amp;M Expenses</t>
  </si>
  <si>
    <t>O&amp;M Norms specified by the Commission</t>
  </si>
  <si>
    <t>200/210/250 MW sets</t>
  </si>
  <si>
    <t>500 MW sets</t>
  </si>
  <si>
    <t>B</t>
  </si>
  <si>
    <t>C</t>
  </si>
  <si>
    <t>Form 3.2: Employee Expenses</t>
  </si>
  <si>
    <t>A. Expenditure details</t>
  </si>
  <si>
    <t>Basic Salary</t>
  </si>
  <si>
    <t>Dearness Allowance (DA)</t>
  </si>
  <si>
    <t>Conveyance Allowance</t>
  </si>
  <si>
    <t>Leave Travel Allowance</t>
  </si>
  <si>
    <t>Earned Leave Encashment</t>
  </si>
  <si>
    <t>Other Allowances</t>
  </si>
  <si>
    <t>Medical Reimbursement</t>
  </si>
  <si>
    <t>Overtime Payment</t>
  </si>
  <si>
    <t>Bonus/Ex-Gratia Payments</t>
  </si>
  <si>
    <t xml:space="preserve">Interim Relief / Wage Revision </t>
  </si>
  <si>
    <t>Staff welfare expenses</t>
  </si>
  <si>
    <t>VRS Expenses/Retrenchment Compensation</t>
  </si>
  <si>
    <t>Commission to Directors</t>
  </si>
  <si>
    <t>Training Expenses</t>
  </si>
  <si>
    <t>Payment under Workmen's Compensation Act</t>
  </si>
  <si>
    <t>Net Employee Costs</t>
  </si>
  <si>
    <t>Terminal Benefits</t>
  </si>
  <si>
    <t>Provident Fund Contribution</t>
  </si>
  <si>
    <t>Provision for PF Fund</t>
  </si>
  <si>
    <t>Pension Payments</t>
  </si>
  <si>
    <t>Gratuity Payment</t>
  </si>
  <si>
    <t>Others</t>
  </si>
  <si>
    <t xml:space="preserve">Gross Employee Expenses </t>
  </si>
  <si>
    <t xml:space="preserve">Net Employee Expenses </t>
  </si>
  <si>
    <t>B. Details of number of employees</t>
  </si>
  <si>
    <t>Officer/Managerial Cadre</t>
  </si>
  <si>
    <t>Technical</t>
  </si>
  <si>
    <t>Administrative</t>
  </si>
  <si>
    <t>Accounts and finance</t>
  </si>
  <si>
    <t>Other (Please specify)</t>
  </si>
  <si>
    <t>Staff Cadre</t>
  </si>
  <si>
    <t>Grade I</t>
  </si>
  <si>
    <t>Grade II</t>
  </si>
  <si>
    <t>Grade III</t>
  </si>
  <si>
    <t>Grade IV</t>
  </si>
  <si>
    <t>Others (please specify)</t>
  </si>
  <si>
    <t>Total Employees</t>
  </si>
  <si>
    <t>Form 3.3: Administration &amp; General Expenses</t>
  </si>
  <si>
    <t>Rent Rates &amp; Taxes</t>
  </si>
  <si>
    <t>Insurance</t>
  </si>
  <si>
    <t>Telephone &amp; Postage, etc.</t>
  </si>
  <si>
    <t>Legal charges &amp; Audit fee</t>
  </si>
  <si>
    <t>Professional, Consultancy, Technical fee</t>
  </si>
  <si>
    <t>Conveyance &amp; Travel</t>
  </si>
  <si>
    <t>Electricity charges</t>
  </si>
  <si>
    <t>Water charges</t>
  </si>
  <si>
    <t>Security arrangements</t>
  </si>
  <si>
    <t>Fees &amp; subscription</t>
  </si>
  <si>
    <t>Books &amp; periodicals</t>
  </si>
  <si>
    <t>Computer Stationery</t>
  </si>
  <si>
    <t>Printing &amp; Stationery</t>
  </si>
  <si>
    <t xml:space="preserve">Advertisements </t>
  </si>
  <si>
    <t>Purchase Related Advertisement Expenses</t>
  </si>
  <si>
    <t>Contribution/Donations</t>
  </si>
  <si>
    <t>License Fee  and other related fee</t>
  </si>
  <si>
    <t>Vehicle Running Expenses Truck / Delivery Van</t>
  </si>
  <si>
    <t>Vehicle Hiring Expenses Truck / Delivery Van</t>
  </si>
  <si>
    <t>Outsourcing of metering and billing system</t>
  </si>
  <si>
    <t>Freight On Capital Equipments</t>
  </si>
  <si>
    <t>V-sat, Internet and related charges</t>
  </si>
  <si>
    <t>Training</t>
  </si>
  <si>
    <t>Bank Charges</t>
  </si>
  <si>
    <t>Miscellaneous Expenses</t>
  </si>
  <si>
    <t>Office Expenses</t>
  </si>
  <si>
    <t>Gross A &amp;G Expenses</t>
  </si>
  <si>
    <t xml:space="preserve">Net A &amp;G Expenses </t>
  </si>
  <si>
    <t>Form 3.4: Repair &amp; Maintenance Expenses</t>
  </si>
  <si>
    <t>Plant &amp; Machinery</t>
  </si>
  <si>
    <t>Hydraulic Works</t>
  </si>
  <si>
    <t>Lines &amp; Cable Networks</t>
  </si>
  <si>
    <t>Vehicles</t>
  </si>
  <si>
    <t>Furniture &amp; Fixtures</t>
  </si>
  <si>
    <t>Office Equipment</t>
  </si>
  <si>
    <t>Gross R&amp;M Expenses</t>
  </si>
  <si>
    <t>Gross Fixed Assets at beginning of year</t>
  </si>
  <si>
    <t>R&amp;M Expenses as % of GFA at beginning of year</t>
  </si>
  <si>
    <t xml:space="preserve">       </t>
  </si>
  <si>
    <t>(A) Gross Fixed Assets</t>
  </si>
  <si>
    <t>Balance at the beginning of the year</t>
  </si>
  <si>
    <t>Additions during the year</t>
  </si>
  <si>
    <t>Retirement of assets during the year</t>
  </si>
  <si>
    <t>Balance at the end of the year</t>
  </si>
  <si>
    <t>Total</t>
  </si>
  <si>
    <t>(B) Depreciation</t>
  </si>
  <si>
    <t>Accumulated depreciation at the beginning of the year</t>
  </si>
  <si>
    <t>Withdrawals during the year</t>
  </si>
  <si>
    <t>Accumulated depreciation at the end of the year</t>
  </si>
  <si>
    <t>Form 8: Sales Forecast</t>
  </si>
  <si>
    <t>(MU)</t>
  </si>
  <si>
    <t>Customer</t>
  </si>
  <si>
    <t>Apr</t>
  </si>
  <si>
    <t>May</t>
  </si>
  <si>
    <t>Jun</t>
  </si>
  <si>
    <t>Jul</t>
  </si>
  <si>
    <t>Aug</t>
  </si>
  <si>
    <t>Sep</t>
  </si>
  <si>
    <t>Oct</t>
  </si>
  <si>
    <t>Nov</t>
  </si>
  <si>
    <t>Dec</t>
  </si>
  <si>
    <t>Jan</t>
  </si>
  <si>
    <t>Feb</t>
  </si>
  <si>
    <t>Mar</t>
  </si>
  <si>
    <r>
      <t xml:space="preserve">              </t>
    </r>
    <r>
      <rPr>
        <b/>
        <sz val="11"/>
        <rFont val="Times New Roman"/>
        <family val="1"/>
      </rPr>
      <t xml:space="preserve">               </t>
    </r>
  </si>
  <si>
    <t>Actuals</t>
  </si>
  <si>
    <t xml:space="preserve"> Total</t>
  </si>
  <si>
    <t xml:space="preserve">Components of tariff </t>
  </si>
  <si>
    <t>Relevant sales &amp; load/demand data for revenue calculation</t>
  </si>
  <si>
    <t>Full year revenue (Rs. Crore)</t>
  </si>
  <si>
    <t>Sales in MU</t>
  </si>
  <si>
    <t>Item 3 (specify)</t>
  </si>
  <si>
    <t xml:space="preserve">Revenue from Fixed / Capacity Charges </t>
  </si>
  <si>
    <t>Revenue from Energy Charges</t>
  </si>
  <si>
    <t>Income from sale of ash/rejected coal</t>
  </si>
  <si>
    <t>Income from hire charges from contractors and others</t>
  </si>
  <si>
    <t>Income from advertisements, etc.</t>
  </si>
  <si>
    <t>Deviation</t>
  </si>
  <si>
    <t>Controllable</t>
  </si>
  <si>
    <t>Uncontrollable</t>
  </si>
  <si>
    <t>Revenue</t>
  </si>
  <si>
    <t>Revenue from sale of electricity</t>
  </si>
  <si>
    <t>Fuel Cost Details for Thermal Generation</t>
  </si>
  <si>
    <t>Capitalisation Plan</t>
  </si>
  <si>
    <t>Form 9.1</t>
  </si>
  <si>
    <t>Form 9.2</t>
  </si>
  <si>
    <t>Expected Revenue at Existing Tariff</t>
  </si>
  <si>
    <t>Non-Tariff Income</t>
  </si>
  <si>
    <t>Truing-Up Summary</t>
  </si>
  <si>
    <t>Total Revenue Gap/(Surplus)</t>
  </si>
  <si>
    <t>Actual/Projected Gross Station Heat Rate</t>
  </si>
  <si>
    <t>Actual/Projected Secondary Fuel Oil Consumption</t>
  </si>
  <si>
    <t>Actual/Projected Transit Loss</t>
  </si>
  <si>
    <t>Actual/Projected Annual Plant Availability Factor</t>
  </si>
  <si>
    <t>Form 11:  Non-Tariff Income</t>
  </si>
  <si>
    <t>Other Expenses</t>
  </si>
  <si>
    <t>Form 12</t>
  </si>
  <si>
    <t>Form 10:  Other Expenses</t>
  </si>
  <si>
    <t>FY 2019-20</t>
  </si>
  <si>
    <t>300/330/350 MW</t>
  </si>
  <si>
    <t>Income from investments</t>
  </si>
  <si>
    <t>Income from sale of tender documents</t>
  </si>
  <si>
    <r>
      <t xml:space="preserve">Cost of Coal/Lignite and Limestone towards stock, if applicable </t>
    </r>
    <r>
      <rPr>
        <vertAlign val="superscript"/>
        <sz val="11"/>
        <rFont val="Times New Roman"/>
        <family val="1"/>
      </rPr>
      <t>1</t>
    </r>
  </si>
  <si>
    <r>
      <t xml:space="preserve">Cost of Oil towards stock, if applicable </t>
    </r>
    <r>
      <rPr>
        <vertAlign val="superscript"/>
        <sz val="11"/>
        <rFont val="Times New Roman"/>
        <family val="1"/>
      </rPr>
      <t>2</t>
    </r>
  </si>
  <si>
    <r>
      <t xml:space="preserve">Cost of Oil </t>
    </r>
    <r>
      <rPr>
        <vertAlign val="superscript"/>
        <sz val="11"/>
        <rFont val="Times New Roman"/>
        <family val="1"/>
      </rPr>
      <t>2</t>
    </r>
  </si>
  <si>
    <r>
      <t xml:space="preserve">Cost of coal or lignite and Limestone </t>
    </r>
    <r>
      <rPr>
        <vertAlign val="superscript"/>
        <sz val="11"/>
        <rFont val="Times New Roman"/>
        <family val="1"/>
      </rPr>
      <t>1</t>
    </r>
  </si>
  <si>
    <t>Calorific Value (As received)</t>
  </si>
  <si>
    <t>Unit 1 / Station 1</t>
  </si>
  <si>
    <t>Unit 2 / Station 2</t>
  </si>
  <si>
    <t>Interest on Loan Capital</t>
  </si>
  <si>
    <t xml:space="preserve">Depreciation </t>
  </si>
  <si>
    <t>Sharing of Gains/(Losses)</t>
  </si>
  <si>
    <t>Total O&amp;M Expenses after sharing of Gains/(losses)</t>
  </si>
  <si>
    <t>Sr. No.</t>
  </si>
  <si>
    <t>(C ) Net Fixed Assets</t>
  </si>
  <si>
    <t>Addition of Loan during the year</t>
  </si>
  <si>
    <t xml:space="preserve">Sr. No. </t>
  </si>
  <si>
    <t>Form 9:  Revenue from Sale of Electricity</t>
  </si>
  <si>
    <t>Energy Charges (Rs./kWh)</t>
  </si>
  <si>
    <t>Fuel surcharge per unit, if any (Rs./kWh)</t>
  </si>
  <si>
    <t>Fixed / Capacity Charges (Rs. Crore / year)</t>
  </si>
  <si>
    <t>Net Income from supply of electricity by the Generation Company to the housing colonies of its operating staff and supply of electricity by the Generating Company for construction works at generating Station, after adjusting the expenses incurred for supply of such electricity</t>
  </si>
  <si>
    <t>Form 13</t>
  </si>
  <si>
    <t>Form 13:  Truing-up Summary</t>
  </si>
  <si>
    <t>Total Revenue</t>
  </si>
  <si>
    <t>a</t>
  </si>
  <si>
    <t>b</t>
  </si>
  <si>
    <t>e</t>
  </si>
  <si>
    <t>Form 2.7</t>
  </si>
  <si>
    <t>Energy Charge Rate for Hydel Generation</t>
  </si>
  <si>
    <t>c</t>
  </si>
  <si>
    <t>Auxiliary Consumption</t>
  </si>
  <si>
    <t>f</t>
  </si>
  <si>
    <t>g=e*(1-f)</t>
  </si>
  <si>
    <t>h=0.50*a/g</t>
  </si>
  <si>
    <t>Normative Availability (%)</t>
  </si>
  <si>
    <t>Actual Availability (%)</t>
  </si>
  <si>
    <t>Design Energy (MU)</t>
  </si>
  <si>
    <t>Auxiliary Consumption (%)</t>
  </si>
  <si>
    <t>Net Design Energy (MU)</t>
  </si>
  <si>
    <t>Energy Charge Rate (Rs. kWh)</t>
  </si>
  <si>
    <t xml:space="preserve"> </t>
  </si>
  <si>
    <t>Form 1.1: Summary of Tariff Proposal</t>
  </si>
  <si>
    <t>Summary of Tariff Proposal</t>
  </si>
  <si>
    <t>Form 1.1</t>
  </si>
  <si>
    <t>Form 2.1: Operational Parameters for Thermal Generation</t>
  </si>
  <si>
    <t>Availability</t>
  </si>
  <si>
    <t>Plant Load Factor (PLF)</t>
  </si>
  <si>
    <t>Secondary Fuel Oil Consumption</t>
  </si>
  <si>
    <t>Total Heat Content</t>
  </si>
  <si>
    <t>Computation of Working Capital Interest</t>
  </si>
  <si>
    <t>Interest Rate (%) - SBI Base Rate +150 basis points</t>
  </si>
  <si>
    <t xml:space="preserve">O&amp;M expenses </t>
  </si>
  <si>
    <t>Norms</t>
  </si>
  <si>
    <t>Interest Rate (%) - SBI Base Rate +150 Basis Points</t>
  </si>
  <si>
    <t>Form 2.2: Energy Charges for Thermal Generation</t>
  </si>
  <si>
    <t>Form 2.3: Fuel Cost Details for Thermal Generation</t>
  </si>
  <si>
    <t>Form 2.4: Interest on Working Capital - Thermal Generation</t>
  </si>
  <si>
    <t>Form 2.5: Operational Parameters - Hydel Generation</t>
  </si>
  <si>
    <t>Form 2.7: Interest on Working Capital - Hydel Generation</t>
  </si>
  <si>
    <t>Form 2.8: Planned &amp; Forced Outages</t>
  </si>
  <si>
    <t>Form 2.8</t>
  </si>
  <si>
    <t>Operational Parameters-Thermal Generation</t>
  </si>
  <si>
    <t>Total Operation &amp; Maintenance Expenses (Net of Capitalisation)</t>
  </si>
  <si>
    <t>(d)</t>
  </si>
  <si>
    <t>(e )</t>
  </si>
  <si>
    <t>(f)=(d)+(e )</t>
  </si>
  <si>
    <t>A&amp;G Expenses (including insurance and excluding Water Charges)</t>
  </si>
  <si>
    <t>Form 4.1</t>
  </si>
  <si>
    <t>Form 4.2</t>
  </si>
  <si>
    <t>Opening Balance of Gross Normative Loan</t>
  </si>
  <si>
    <t>Cumulative Repayment till the year</t>
  </si>
  <si>
    <t>Opening Balance of Net Normative Loan</t>
  </si>
  <si>
    <t>Less: Reduction of Normative Loan due to retirement or replacement of assets</t>
  </si>
  <si>
    <t>Closing Balance of Net Normative Loan</t>
  </si>
  <si>
    <t>Closing Balance of Gross Normative Loan</t>
  </si>
  <si>
    <t>A) Normative Loan</t>
  </si>
  <si>
    <t>Financing Charges</t>
  </si>
  <si>
    <t>Return on Equity Computation</t>
  </si>
  <si>
    <t>Total Return on Equity</t>
  </si>
  <si>
    <t>Repayment of Normative loan during the year</t>
  </si>
  <si>
    <t>Reasons for Deviation</t>
  </si>
  <si>
    <t>(e)</t>
  </si>
  <si>
    <t>(g)</t>
  </si>
  <si>
    <t>(h)</t>
  </si>
  <si>
    <t>2.5.1</t>
  </si>
  <si>
    <t>Year</t>
  </si>
  <si>
    <t>IDC</t>
  </si>
  <si>
    <t>2.5.2</t>
  </si>
  <si>
    <t>2.5.3</t>
  </si>
  <si>
    <t>Energy Charge Rate ex-bus (Rs./kWh)</t>
  </si>
  <si>
    <t>Other Charges (Rs./kWh)</t>
  </si>
  <si>
    <t>NAPAF (%)</t>
  </si>
  <si>
    <t>………</t>
  </si>
  <si>
    <t>Loan 2</t>
  </si>
  <si>
    <t>Loan 1</t>
  </si>
  <si>
    <t>Form 9.2:  Expected Revenue at Existing Tariff</t>
  </si>
  <si>
    <t>Form 9.3:  Expected Revenue at Proposed Tariff</t>
  </si>
  <si>
    <t>S. No.</t>
  </si>
  <si>
    <t>Availability during the month (%)</t>
  </si>
  <si>
    <t>Cumulative Availability (%)</t>
  </si>
  <si>
    <t>Actual PLF during the month (%)</t>
  </si>
  <si>
    <t>Cumulative PLF (%)</t>
  </si>
  <si>
    <t>Gross  Generation (MU)</t>
  </si>
  <si>
    <t>Auxiliary Consumption (MU)</t>
  </si>
  <si>
    <t>Variable Charges Per Unit</t>
  </si>
  <si>
    <t>Fixed Charges During Month</t>
  </si>
  <si>
    <t>Variable Charges Amount</t>
  </si>
  <si>
    <t>Revenue from sale of power</t>
  </si>
  <si>
    <t>Other recoveries/adjustments</t>
  </si>
  <si>
    <t>Form 9.1:  Reconciliation of Revenue claimed for true up and as per the Audited Accounts</t>
  </si>
  <si>
    <t>Form 9.3</t>
  </si>
  <si>
    <t>Reconciliation of Revenue claimed for true up and as per the Audited Accounts</t>
  </si>
  <si>
    <t>Rs./kWh</t>
  </si>
  <si>
    <t>Rs. Crore</t>
  </si>
  <si>
    <t>Total Revenue as per Audited Accounts</t>
  </si>
  <si>
    <t>Apr-Sep    (Actual)</t>
  </si>
  <si>
    <t>Apr-Sep            (Actual)</t>
  </si>
  <si>
    <t>Expected Revenue at Proposed Tariff</t>
  </si>
  <si>
    <t>Gross Station Heat Rate</t>
  </si>
  <si>
    <t>Oct-Mar          (Estimated)</t>
  </si>
  <si>
    <t>MYT Order</t>
  </si>
  <si>
    <t>True-Up requirement</t>
  </si>
  <si>
    <t>Provisional True-Up requirement</t>
  </si>
  <si>
    <t>Target Availability (%)</t>
  </si>
  <si>
    <t>Petitioner should submit documentary evidence for actual interest on working capital incurred</t>
  </si>
  <si>
    <t>Legend</t>
  </si>
  <si>
    <t>(f) = (e) - (d)</t>
  </si>
  <si>
    <t>d=0.50*a*c/b</t>
  </si>
  <si>
    <t>Annual Fixed Cost for Hydel Generating Station (Rs. Crore)</t>
  </si>
  <si>
    <t>Form 2.6: Capacity Charge &amp; Energy Charge Rate - Hydel Generation</t>
  </si>
  <si>
    <t>Capacity Charges (Rs. Crore)</t>
  </si>
  <si>
    <t>(c)</t>
  </si>
  <si>
    <t>R &amp; M Expenses</t>
  </si>
  <si>
    <t>B. For New Generating Stations &amp; Generating Stations that achieved COD after 26.8.2005</t>
  </si>
  <si>
    <t>Installed Capacity</t>
  </si>
  <si>
    <t xml:space="preserve">O&amp;M Expenses </t>
  </si>
  <si>
    <t>Addition of Normative Loan due to capitalisation during the year</t>
  </si>
  <si>
    <t>Weighted average Rate of Interest on actual Loans (%)</t>
  </si>
  <si>
    <t>Total Interest &amp; Financing Charges</t>
  </si>
  <si>
    <t>B) Existing Actual Long-term Loans</t>
  </si>
  <si>
    <t>Average Balance of Net Normative Loan</t>
  </si>
  <si>
    <t>Average Loan Balance</t>
  </si>
  <si>
    <t>Net Generation (MU)</t>
  </si>
  <si>
    <t>Income from Sale of Scrap</t>
  </si>
  <si>
    <t>Income from Rents of land or buildings</t>
  </si>
  <si>
    <t>Interest income on advances to suppliers/contractors</t>
  </si>
  <si>
    <t>….</t>
  </si>
  <si>
    <t>Generation above target PLF (MU)</t>
  </si>
  <si>
    <t>Approved Fixed Charges</t>
  </si>
  <si>
    <t>Fuel Surcharge Adjustment</t>
  </si>
  <si>
    <t>Amount of Fuel Surcharge Adjustment</t>
  </si>
  <si>
    <t>Form 4:  Summary of Capital Expenditure and Capitalisation</t>
  </si>
  <si>
    <t>Capitalisation + IDC</t>
  </si>
  <si>
    <t>Summary of Capital Expenditure and Capitalisation</t>
  </si>
  <si>
    <t>Form 4.3</t>
  </si>
  <si>
    <t>Actual Working Capital Interest</t>
  </si>
  <si>
    <t>Net Entitlement after sharing of gains/(losses)</t>
  </si>
  <si>
    <t>Loan 3</t>
  </si>
  <si>
    <t>Separate detailed computations for FERV component to be submitted</t>
  </si>
  <si>
    <t>MERC Approval No.</t>
  </si>
  <si>
    <t>MERC Approval Date</t>
  </si>
  <si>
    <t>Capital Cost</t>
  </si>
  <si>
    <t xml:space="preserve">Actual </t>
  </si>
  <si>
    <t>Actual Capital Cost Incurred</t>
  </si>
  <si>
    <t>MERC Approved Cost</t>
  </si>
  <si>
    <t>Approved Start Date</t>
  </si>
  <si>
    <t>Actual Start Date</t>
  </si>
  <si>
    <t>Approved Date of Completion</t>
  </si>
  <si>
    <t>Actual Date of Completion</t>
  </si>
  <si>
    <t>Cumulative Expenditure Incurred till beginning of the Year</t>
  </si>
  <si>
    <t>Capital Expenditure Capitalised</t>
  </si>
  <si>
    <t xml:space="preserve">Form 4.1: Capital Expenditure Plan </t>
  </si>
  <si>
    <t xml:space="preserve">(i) </t>
  </si>
  <si>
    <t>(j) = (h) + (i)</t>
  </si>
  <si>
    <t>(k) = (j) - (g)</t>
  </si>
  <si>
    <t>FY 2020-21</t>
  </si>
  <si>
    <t>FY 2021-22</t>
  </si>
  <si>
    <t>FY 2022-23</t>
  </si>
  <si>
    <t>FY 2023-24</t>
  </si>
  <si>
    <t>FY 2024-25</t>
  </si>
  <si>
    <t>(f)</t>
  </si>
  <si>
    <t>(i) = (h) - (g)</t>
  </si>
  <si>
    <t>Type of Thermal Generating Station (Pithead/Non-Pithead)</t>
  </si>
  <si>
    <t>Land</t>
  </si>
  <si>
    <t>Asset as on 1st April 2005</t>
  </si>
  <si>
    <t>Depreciation as on 1st April 2005</t>
  </si>
  <si>
    <t>2005-06</t>
  </si>
  <si>
    <t>2006-07</t>
  </si>
  <si>
    <t>2007-08</t>
  </si>
  <si>
    <t>2008-09</t>
  </si>
  <si>
    <t>2009-10</t>
  </si>
  <si>
    <t>2010-11</t>
  </si>
  <si>
    <t>2011-12</t>
  </si>
  <si>
    <t>2012-13</t>
  </si>
  <si>
    <t>2013-14</t>
  </si>
  <si>
    <t>2014-15</t>
  </si>
  <si>
    <t>2015-16</t>
  </si>
  <si>
    <t>2016-17</t>
  </si>
  <si>
    <t>2017-18</t>
  </si>
  <si>
    <t>2018-19</t>
  </si>
  <si>
    <t>Asset crossing 90% depreciation</t>
  </si>
  <si>
    <t xml:space="preserve">Opening </t>
  </si>
  <si>
    <t>Addition</t>
  </si>
  <si>
    <t>2019-20</t>
  </si>
  <si>
    <t>2020-21</t>
  </si>
  <si>
    <t>2021-22</t>
  </si>
  <si>
    <t>Building</t>
  </si>
  <si>
    <t>Depriciation as on 1st april</t>
  </si>
  <si>
    <t>Remaining Depreciable value</t>
  </si>
  <si>
    <t>Hydraulic</t>
  </si>
  <si>
    <t>Other Civil work</t>
  </si>
  <si>
    <t>Plant and Machinery</t>
  </si>
  <si>
    <t>Lines and Cable Network</t>
  </si>
  <si>
    <t>Vehicle</t>
  </si>
  <si>
    <t>Furniture</t>
  </si>
  <si>
    <t>2022-23</t>
  </si>
  <si>
    <t>2023-24</t>
  </si>
  <si>
    <t>2024-25</t>
  </si>
  <si>
    <t>Capitalisation during the year $</t>
  </si>
  <si>
    <r>
      <t>Less: Payables for Fuel</t>
    </r>
    <r>
      <rPr>
        <vertAlign val="superscript"/>
        <sz val="11"/>
        <rFont val="Times New Roman"/>
        <family val="1"/>
      </rPr>
      <t>4</t>
    </r>
  </si>
  <si>
    <t>Base Rate of Return on Equity</t>
  </si>
  <si>
    <t xml:space="preserve">Return on Regulatory Equity at the beginning of the year </t>
  </si>
  <si>
    <t xml:space="preserve">Return on Regulatory Equity addition during the year </t>
  </si>
  <si>
    <t>Actual Income Tax paid by the Entity #</t>
  </si>
  <si>
    <t>Rate of Pre Tax Return on Equity (%)</t>
  </si>
  <si>
    <t>c = (b/a)</t>
  </si>
  <si>
    <t>Fuel Utilisation Plan</t>
  </si>
  <si>
    <t>Form 16</t>
  </si>
  <si>
    <t>Name of Generating Station/Unit</t>
  </si>
  <si>
    <t>Details of Contracted Source</t>
  </si>
  <si>
    <t>Annual Contracted Quantity</t>
  </si>
  <si>
    <t>Estimated Availability</t>
  </si>
  <si>
    <t xml:space="preserve">Expected Shortage </t>
  </si>
  <si>
    <t>Alternate Arrangement in case of Shortage</t>
  </si>
  <si>
    <t>Name of Alternate Source</t>
  </si>
  <si>
    <t>Name of Source</t>
  </si>
  <si>
    <t>Expected Rate of Alternate Source</t>
  </si>
  <si>
    <t>Plan for Swapping of Fuel Source for Optimizing Cost</t>
  </si>
  <si>
    <t>Net Cost Savings in Variable cost after optimum Utilisation</t>
  </si>
  <si>
    <t>Month</t>
  </si>
  <si>
    <t>July</t>
  </si>
  <si>
    <t xml:space="preserve">Nov </t>
  </si>
  <si>
    <r>
      <rPr>
        <b/>
        <sz val="11"/>
        <rFont val="Times New Roman"/>
        <family val="1"/>
      </rPr>
      <t>Note</t>
    </r>
    <r>
      <rPr>
        <sz val="11"/>
        <rFont val="Times New Roman"/>
        <family val="1"/>
      </rPr>
      <t>: 1. Fuel quantum is to be allocated to different generating Stations/Units in accordance with the merit order of different generation Stations/Units in terms of variable cost</t>
    </r>
  </si>
  <si>
    <t xml:space="preserve">          3. Fuel Utilisation Plan shall be prepared based on past data and reasonable assumptions for future</t>
  </si>
  <si>
    <t>Water Charges</t>
  </si>
  <si>
    <t>C. Opex Schemes</t>
  </si>
  <si>
    <t>System Automation</t>
  </si>
  <si>
    <t>New Technology</t>
  </si>
  <si>
    <t>I.T. Implementation</t>
  </si>
  <si>
    <t>Calorific Value (As billed)</t>
  </si>
  <si>
    <t>Opex Schemes</t>
  </si>
  <si>
    <t>600 MW sets</t>
  </si>
  <si>
    <t>800 MW sets &amp; above</t>
  </si>
  <si>
    <t xml:space="preserve">600 MW sets </t>
  </si>
  <si>
    <t>Pretax Return on Equity after considering effective Tax rate $$</t>
  </si>
  <si>
    <t>Depreciation Rate for that Year</t>
  </si>
  <si>
    <t>Depreciation during the Year</t>
  </si>
  <si>
    <t>Grant Funding</t>
  </si>
  <si>
    <t>Asset not in use</t>
  </si>
  <si>
    <t>(e) = (a)+(b)-(c)-(d)</t>
  </si>
  <si>
    <t>(i)</t>
  </si>
  <si>
    <t>(k)</t>
  </si>
  <si>
    <t>(l)</t>
  </si>
  <si>
    <t>(m)</t>
  </si>
  <si>
    <t>(n)</t>
  </si>
  <si>
    <t>(p)</t>
  </si>
  <si>
    <t>(q)</t>
  </si>
  <si>
    <t>(r)</t>
  </si>
  <si>
    <t>(s)</t>
  </si>
  <si>
    <r>
      <rPr>
        <b/>
        <sz val="11"/>
        <rFont val="Times New Roman"/>
        <family val="1"/>
      </rPr>
      <t>Note</t>
    </r>
    <r>
      <rPr>
        <sz val="11"/>
        <rFont val="Times New Roman"/>
        <family val="1"/>
      </rPr>
      <t>: Documentary evidence of all assets put to use during the completed Years shall be provided with this format</t>
    </r>
  </si>
  <si>
    <r>
      <rPr>
        <b/>
        <sz val="11"/>
        <rFont val="Times New Roman"/>
        <family val="1"/>
      </rPr>
      <t>Note</t>
    </r>
    <r>
      <rPr>
        <sz val="11"/>
        <rFont val="Times New Roman"/>
        <family val="1"/>
      </rPr>
      <t>: 1. Documentary evidence of all assets put to use during the Year shall be provided with this format</t>
    </r>
  </si>
  <si>
    <r>
      <rPr>
        <b/>
        <sz val="11"/>
        <rFont val="Times New Roman"/>
        <family val="1"/>
      </rPr>
      <t>Note</t>
    </r>
    <r>
      <rPr>
        <sz val="11"/>
        <rFont val="Times New Roman"/>
        <family val="1"/>
      </rPr>
      <t>: Documentary evidence of all assets put to use shall be provided with this format</t>
    </r>
  </si>
  <si>
    <t xml:space="preserve">Regulatory Equity at the beginning of the year </t>
  </si>
  <si>
    <t>Equity portion of capitalisation during the year #</t>
  </si>
  <si>
    <t>Return on Regulatory Equity at the beginning of the year</t>
  </si>
  <si>
    <t>Return on Regulatory Equity addition during the year</t>
  </si>
  <si>
    <t>(Numbers)</t>
  </si>
  <si>
    <t>Formula</t>
  </si>
  <si>
    <t>Total Gross Income of Regulated Entity (Rs. Crore)</t>
  </si>
  <si>
    <t>Base Rate of Return on Equity (%)</t>
  </si>
  <si>
    <t>... ... ...</t>
  </si>
  <si>
    <t>Short Term Loan 3</t>
  </si>
  <si>
    <t>Short Term Loan 2</t>
  </si>
  <si>
    <t>Short Term Loan 1</t>
  </si>
  <si>
    <t>Scheduled Payment against Short Term Loans</t>
  </si>
  <si>
    <t>Long Term Loan 3</t>
  </si>
  <si>
    <t>Long Term Loan 2</t>
  </si>
  <si>
    <t>Long Term Loan 1</t>
  </si>
  <si>
    <t>Scheduled Payment against Long Term Loans</t>
  </si>
  <si>
    <t>% of Amount paid</t>
  </si>
  <si>
    <t>Amount (Rs. Crore)</t>
  </si>
  <si>
    <t>Month/ Date</t>
  </si>
  <si>
    <t>Due date</t>
  </si>
  <si>
    <t>Month/Date</t>
  </si>
  <si>
    <t>Amount Pending (Rs. Crore)</t>
  </si>
  <si>
    <t>Delay in payment (days)</t>
  </si>
  <si>
    <t>Payment made</t>
  </si>
  <si>
    <t>Schedule Payment</t>
  </si>
  <si>
    <t>Payment Efficiency</t>
  </si>
  <si>
    <t>A) Scheduled and Actual Payment</t>
  </si>
  <si>
    <t>Scheduled Payment against Supplies</t>
  </si>
  <si>
    <t>Supplier 1 (Name &amp; Item)</t>
  </si>
  <si>
    <t>Supplier 2 (Name &amp; Item)</t>
  </si>
  <si>
    <t>Supplier 3 (Name &amp; Item)</t>
  </si>
  <si>
    <r>
      <rPr>
        <b/>
        <sz val="11"/>
        <rFont val="Times New Roman"/>
        <family val="1"/>
      </rPr>
      <t>Note</t>
    </r>
    <r>
      <rPr>
        <sz val="11"/>
        <rFont val="Times New Roman"/>
        <family val="1"/>
      </rPr>
      <t>: Please give detailed explanation separately for the deviations on account of uncontrollable factors</t>
    </r>
  </si>
  <si>
    <t>Capacity (Fixed) Charges (Rs. Crore)</t>
  </si>
  <si>
    <t>Detailed Justification shall be provided for variation in approved capital expenditure and capitalisation vis-a-vis actual capital expenditure and capitalisation</t>
  </si>
  <si>
    <t xml:space="preserve">Form 4.2: Capitalisation Plan </t>
  </si>
  <si>
    <t>Form 4.3:  Capital Work-in-progress - Project-wise details</t>
  </si>
  <si>
    <t xml:space="preserve">          2. Least cost generating Stations/Units should be operated at maximum availability and other generating Stations/Units should be operated at maximum availability thereafter in the ascending order of variable cost</t>
  </si>
  <si>
    <t>Fuel Requirement of Each Unit/Station (MT, MCM)</t>
  </si>
  <si>
    <t xml:space="preserve">       4. Fuel Utilisation Plan to be submitted for each fuel separately</t>
  </si>
  <si>
    <t>Fuel type</t>
  </si>
  <si>
    <t>Impact on Variable Cost per unit</t>
  </si>
  <si>
    <t>Variable Cost per Unit</t>
  </si>
  <si>
    <t>In High Demand Season</t>
  </si>
  <si>
    <t>Peak Hours</t>
  </si>
  <si>
    <t>Off-Peak Hours</t>
  </si>
  <si>
    <t>In Low Demand Season</t>
  </si>
  <si>
    <t xml:space="preserve">Form 3:  Summary of Operations and Maintenance Expenses </t>
  </si>
  <si>
    <t xml:space="preserve">Administration &amp; General Expenses </t>
  </si>
  <si>
    <t xml:space="preserve">Repair &amp; Maintenance Expenses </t>
  </si>
  <si>
    <t>Operation and Maintenance Expenses - Normative</t>
  </si>
  <si>
    <t>Form 3.1:  Operation and Maintenance Expenses - Normative</t>
  </si>
  <si>
    <t>(i) = (e)+(f)-(g)-(h)</t>
  </si>
  <si>
    <t>(j)</t>
  </si>
  <si>
    <t>(o)</t>
  </si>
  <si>
    <t>(t)</t>
  </si>
  <si>
    <t>(u) = (q)+(r)-(s)-(t)</t>
  </si>
  <si>
    <t>(u)</t>
  </si>
  <si>
    <t>(v)</t>
  </si>
  <si>
    <t>(w)</t>
  </si>
  <si>
    <t>(x)</t>
  </si>
  <si>
    <t>(y) = (u)+(v)-(w)-(x)</t>
  </si>
  <si>
    <t>(y)</t>
  </si>
  <si>
    <t>(z)</t>
  </si>
  <si>
    <t>(aa)</t>
  </si>
  <si>
    <t>(ab)</t>
  </si>
  <si>
    <t>(ac) = (y)+(z)-(aa)-(ab)</t>
  </si>
  <si>
    <t xml:space="preserve">Deviation = Approved - Actual on account of </t>
  </si>
  <si>
    <t>Material Cost (b)</t>
  </si>
  <si>
    <t>IDC (c)</t>
  </si>
  <si>
    <t>Others (d)</t>
  </si>
  <si>
    <t>Total Deviation (a+b+c+d)</t>
  </si>
  <si>
    <t>Change in Scope of Work (a)</t>
  </si>
  <si>
    <t>Revenue from Sale of Electricity</t>
  </si>
  <si>
    <t>Revised Projections</t>
  </si>
  <si>
    <t>(c) = (b) - (a)</t>
  </si>
  <si>
    <t>(j) = (h)+(i)</t>
  </si>
  <si>
    <t>(m) = (k)+(l)</t>
  </si>
  <si>
    <t>(n) = (m) - (j)</t>
  </si>
  <si>
    <t>FY 2019-20*</t>
  </si>
  <si>
    <t>Provisional</t>
  </si>
  <si>
    <t>Scheduled PLF</t>
  </si>
  <si>
    <t>Actual Availability</t>
  </si>
  <si>
    <t>* - Truing Up for FY 2019-20 to be done under MERC MYT Regulations 2015 with reference to amounts approved in the MYT Order for FY 2020-21 to FY 2024-25</t>
  </si>
  <si>
    <t>Stacking Loss</t>
  </si>
  <si>
    <t>Actual/Estimated/Projected Availability</t>
  </si>
  <si>
    <t>1.3.1</t>
  </si>
  <si>
    <t>1.3.2</t>
  </si>
  <si>
    <t>Actual/Estimated/Projected PLF</t>
  </si>
  <si>
    <t>Actual/Estimated/Projected Gross Generation</t>
  </si>
  <si>
    <t>Normative Auxiliary Energy Consumption with FGD</t>
  </si>
  <si>
    <t>Actual/Estimated/Projected Auxiliary Energy Consumption with FGD</t>
  </si>
  <si>
    <t>Actual/Estimated/Projected Net Generation</t>
  </si>
  <si>
    <t>Scheduled Net Generation</t>
  </si>
  <si>
    <t>Scheduled Gross Generation</t>
  </si>
  <si>
    <t>Actual/Estimated/Projected Gross Station Heat Rate</t>
  </si>
  <si>
    <t>Actual/Estimated/Projected Secondary Fuel Oil Consumption</t>
  </si>
  <si>
    <t>Actual/Estimated/Projected Transit Loss</t>
  </si>
  <si>
    <t>Washery Charges</t>
  </si>
  <si>
    <t>Total Washery Charges</t>
  </si>
  <si>
    <t>Third Party Sampling Charges</t>
  </si>
  <si>
    <t>Total Sampling Charges</t>
  </si>
  <si>
    <t>Total Cost (4+5+6+7)</t>
  </si>
  <si>
    <t>Energy Charge per unit (ex-bus) (8/1.16)</t>
  </si>
  <si>
    <t>Total Price excluding Transit Loss and Stacking Loss</t>
  </si>
  <si>
    <t>Total Price including Transit Loss and Stacking Loss</t>
  </si>
  <si>
    <t>MYT Order*</t>
  </si>
  <si>
    <t>Scheduled Generation (MU)</t>
  </si>
  <si>
    <t xml:space="preserve"> * - In case MYT Order is yet to be issued, then MTR Order values to be captured under this column</t>
  </si>
  <si>
    <t>Receivables#</t>
  </si>
  <si>
    <t>(l) = (k) - (j)</t>
  </si>
  <si>
    <r>
      <rPr>
        <b/>
        <sz val="11"/>
        <rFont val="Times New Roman"/>
        <family val="1"/>
      </rPr>
      <t>Note</t>
    </r>
    <r>
      <rPr>
        <sz val="11"/>
        <rFont val="Times New Roman"/>
        <family val="1"/>
      </rPr>
      <t>:</t>
    </r>
  </si>
  <si>
    <t>Actual Capex till FY 2018-19</t>
  </si>
  <si>
    <t>Revised Projected</t>
  </si>
  <si>
    <t>Actual Progress till FY 2018-19</t>
  </si>
  <si>
    <t>Actual Capitalization till FY 2018-19</t>
  </si>
  <si>
    <t>2. Generation Company shall submit certification from the Statutory Auditor for the capping of depreciation at ninety per cent of the allowable capital cost of the asset</t>
  </si>
  <si>
    <t>(i) = (h)-(g)</t>
  </si>
  <si>
    <t>Additional Return on Equity</t>
  </si>
  <si>
    <t>Additional Rate of Return on Equity for incremental ramp rate (a)</t>
  </si>
  <si>
    <t>no. of days</t>
  </si>
  <si>
    <t>Additional Rate of Return on Equity on account of MTBF (b)</t>
  </si>
  <si>
    <t>Total Additional Return on Equity</t>
  </si>
  <si>
    <t>Additional Return on Equity Computation</t>
  </si>
  <si>
    <t>Incremental Ramp rate over and above 1% per minute#</t>
  </si>
  <si>
    <t>Mean Time Between Failures (MTBF) during the year$</t>
  </si>
  <si>
    <r>
      <rPr>
        <b/>
        <sz val="11"/>
        <rFont val="Times New Roman"/>
        <family val="1"/>
      </rPr>
      <t>Note</t>
    </r>
    <r>
      <rPr>
        <sz val="11"/>
        <rFont val="Times New Roman"/>
        <family val="1"/>
      </rPr>
      <t>: # Generating Company shall submit MSLDC certificate to substantiate incremental ramp rate over and above the ramp rate of 1% per minute as specified in the Regulations</t>
    </r>
  </si>
  <si>
    <t>$ Generating Company shall submit SLDC certificate to substantiate Mean Time Between Failures as per formula specified in the Regulations</t>
  </si>
  <si>
    <t>Total Additional Rate of Return on Equity (c) = (a) + (b)</t>
  </si>
  <si>
    <t>Year: FY 2022-23</t>
  </si>
  <si>
    <t>Additional Rate of Return on Equity (%)</t>
  </si>
  <si>
    <t>Total Rate of Return on Equity (%)</t>
  </si>
  <si>
    <t>(f)= (d)+(e)</t>
  </si>
  <si>
    <t>g = f /(1-c)</t>
  </si>
  <si>
    <t>Form 16: Payment Efficiency</t>
  </si>
  <si>
    <t>Form 15:  Fuel Utilisation Plan</t>
  </si>
  <si>
    <r>
      <rPr>
        <b/>
        <sz val="11"/>
        <rFont val="Times New Roman"/>
        <family val="1"/>
      </rPr>
      <t>Note</t>
    </r>
    <r>
      <rPr>
        <sz val="11"/>
        <rFont val="Times New Roman"/>
        <family val="1"/>
      </rPr>
      <t>: 1. Generating Company shall provide justification for variation between approved and actual fuel utilisation plan</t>
    </r>
  </si>
  <si>
    <t>FY 2022-23 Approved</t>
  </si>
  <si>
    <t xml:space="preserve">Actual Shortage </t>
  </si>
  <si>
    <t>Actual Rate of Alternate Source</t>
  </si>
  <si>
    <t>Swapping of Fuel Source for Optimizing Cost</t>
  </si>
  <si>
    <t>Projected Generation (MU)</t>
  </si>
  <si>
    <t>Asset as on 1st April/Asset Addition during the Year</t>
  </si>
  <si>
    <t xml:space="preserve">Any Other Charges (specify part name and unit) </t>
  </si>
  <si>
    <t>Share of Capacity (MW/%)</t>
  </si>
  <si>
    <t>Revenue from Any Other Charge (specify part name)</t>
  </si>
  <si>
    <t>Revenue from Fuel Surcharge</t>
  </si>
  <si>
    <t>2.1.4</t>
  </si>
  <si>
    <t>Fuel 1-coal</t>
  </si>
  <si>
    <t>Fuel 2-Imported Coal</t>
  </si>
  <si>
    <t>Fuel 3-FO</t>
  </si>
  <si>
    <t>Fuel 4-LDO</t>
  </si>
  <si>
    <t>2.2.4</t>
  </si>
  <si>
    <t>2.5.4</t>
  </si>
  <si>
    <t>3.1.4</t>
  </si>
  <si>
    <t>3.2.4</t>
  </si>
  <si>
    <t>3.3.4</t>
  </si>
  <si>
    <t>Coal handling contract charges</t>
  </si>
  <si>
    <t>Siding charges</t>
  </si>
  <si>
    <t>Payments to railway staff</t>
  </si>
  <si>
    <t>Con-Other coal related costs</t>
  </si>
  <si>
    <t>Other coal related costs</t>
  </si>
  <si>
    <t>Demurrage on coal wagons</t>
  </si>
  <si>
    <t>Demurrage on oil wagons</t>
  </si>
  <si>
    <t>Other fuel cost variance A/c Dr. / Cr.</t>
  </si>
  <si>
    <t>Consumption High Speed Diesel Oil</t>
  </si>
  <si>
    <t>Consumption of Oil ( Other )</t>
  </si>
  <si>
    <t>Oil handling contract charges</t>
  </si>
  <si>
    <t>Oil Lubricants</t>
  </si>
  <si>
    <t>7.1.1</t>
  </si>
  <si>
    <t>7.1.2</t>
  </si>
  <si>
    <t>7.1.3</t>
  </si>
  <si>
    <t>Not Applicable for Thermal Power Plant</t>
  </si>
  <si>
    <t>ATTACHED SEPARATELY</t>
  </si>
  <si>
    <t>Efficiency Gain</t>
  </si>
  <si>
    <t>Sharing of Efficiency Gain</t>
  </si>
  <si>
    <t>c=b-a</t>
  </si>
  <si>
    <t>d=b-a</t>
  </si>
  <si>
    <t>Pay Revision Impact</t>
  </si>
  <si>
    <t xml:space="preserve">      Maharashtra State Power Generation Company Ltd.</t>
  </si>
  <si>
    <t>MYT Petition Formats for Bhusawal Unit 3</t>
  </si>
  <si>
    <t>Tax Rate</t>
  </si>
  <si>
    <t>MSEDCL</t>
  </si>
  <si>
    <t>Coal - Raw Coal</t>
  </si>
  <si>
    <t>Transporation</t>
  </si>
  <si>
    <t>Duties SED</t>
  </si>
  <si>
    <t>Royalty Charges</t>
  </si>
  <si>
    <t>Others STC</t>
  </si>
  <si>
    <t>Others-Energy Clean Charges</t>
  </si>
  <si>
    <t>Others-ED</t>
  </si>
  <si>
    <t>Coal - Imported  Coal</t>
  </si>
  <si>
    <t>Base Price</t>
  </si>
  <si>
    <t>Transportation</t>
  </si>
  <si>
    <t>Local Transportation</t>
  </si>
  <si>
    <t>Taxes</t>
  </si>
  <si>
    <t>Total Imported Coal</t>
  </si>
  <si>
    <t>Oil - LDO</t>
  </si>
  <si>
    <t>Total LDO</t>
  </si>
  <si>
    <t>Oil - FO</t>
  </si>
  <si>
    <t>Total FO</t>
  </si>
  <si>
    <t>Rs./KL</t>
  </si>
  <si>
    <t>D</t>
  </si>
  <si>
    <t>True-Up/Actual</t>
  </si>
  <si>
    <t>Coal Based</t>
  </si>
  <si>
    <t>Other Employee Benefits</t>
  </si>
  <si>
    <t>HO/SE Coal/WM</t>
  </si>
  <si>
    <t>Allocation : HO/SE Coal/WM</t>
  </si>
  <si>
    <t>Income of LD recovery</t>
  </si>
  <si>
    <t>Other Misc Income (Delayed payment charges, Interest on advances to suppliers, Land charges fm Contractors &amp; others, Sale of Tender forms, Registration fees, Ground rent on material lying in stores, Recruitment- exam fees, Income from Services, Miscellaneous receipts)</t>
  </si>
  <si>
    <t xml:space="preserve">Coal handling costs </t>
  </si>
  <si>
    <t>Other Gen expenses-Security</t>
  </si>
  <si>
    <t>Dep rate</t>
  </si>
  <si>
    <t>Balance useful life</t>
  </si>
  <si>
    <t>Apr-Mar     (Audited)</t>
  </si>
  <si>
    <t>MYT 
Order</t>
  </si>
  <si>
    <t>True-Up 
requirement</t>
  </si>
  <si>
    <t>MYT 
Order*</t>
  </si>
  <si>
    <t>Revised 
Normative</t>
  </si>
  <si>
    <t>Rental from contractors &amp; staff Quarters</t>
  </si>
  <si>
    <t>C) Existing Actual Long-term Loans (Station Specific)</t>
  </si>
  <si>
    <t>D ) Actual Loans drawn during the year</t>
  </si>
  <si>
    <t>Other charges (NMET/DMF)</t>
  </si>
  <si>
    <t>Rescheduling charges</t>
  </si>
  <si>
    <t>Group 79 and its allocation</t>
  </si>
  <si>
    <t>Income on Energy saving certificate tra</t>
  </si>
  <si>
    <t>Taxes (CST/VAT/GST)</t>
  </si>
  <si>
    <t>Others (Discounts)</t>
  </si>
  <si>
    <t>Duties (Excise Duty)</t>
  </si>
  <si>
    <t>Others (Discount)</t>
  </si>
  <si>
    <t>Allowances</t>
  </si>
  <si>
    <t>Civil/Hydraulic, building</t>
  </si>
  <si>
    <t>Pollution control Exp</t>
  </si>
  <si>
    <t>Rent</t>
  </si>
  <si>
    <t>Gain/Loss on sale of Fixed Assets</t>
  </si>
  <si>
    <t>Profit / Loss on Exchange variance</t>
  </si>
  <si>
    <t>7.1.4</t>
  </si>
  <si>
    <t>7.1.5</t>
  </si>
  <si>
    <t>7.1.6</t>
  </si>
  <si>
    <t>7.1.7</t>
  </si>
  <si>
    <t>7.1.8</t>
  </si>
  <si>
    <t>7.1.9</t>
  </si>
  <si>
    <t>7.1.10</t>
  </si>
  <si>
    <t>7.1.11</t>
  </si>
  <si>
    <t>7.1.12</t>
  </si>
  <si>
    <t>7.1.13</t>
  </si>
  <si>
    <t>Land &amp; Rights</t>
  </si>
  <si>
    <t>Buildings</t>
  </si>
  <si>
    <t>Cooling Towers and Circulating Water Systems</t>
  </si>
  <si>
    <t>Hydraulic works</t>
  </si>
  <si>
    <t>Other &amp; Civil work</t>
  </si>
  <si>
    <t>Batteries</t>
  </si>
  <si>
    <t>Air Conditioning</t>
  </si>
  <si>
    <t>Lines &amp; cable Network</t>
  </si>
  <si>
    <t>Intangibles</t>
  </si>
  <si>
    <t>Other Variable Charges</t>
  </si>
  <si>
    <t>Other Adjustments (Pl. specify details)</t>
  </si>
  <si>
    <t>Fuel 3-Washed Coal</t>
  </si>
  <si>
    <t>Fuel 6-LSHS</t>
  </si>
  <si>
    <t>Fuel 7-HSD</t>
  </si>
  <si>
    <t>2.1.5</t>
  </si>
  <si>
    <t>2.1.6</t>
  </si>
  <si>
    <t>2.1.7</t>
  </si>
  <si>
    <t>2.2.5</t>
  </si>
  <si>
    <t>2.2.6</t>
  </si>
  <si>
    <t>2.2.7</t>
  </si>
  <si>
    <t>2.5.5</t>
  </si>
  <si>
    <t>2.5.6</t>
  </si>
  <si>
    <t>2.5.7</t>
  </si>
  <si>
    <t>3.1.5</t>
  </si>
  <si>
    <t>3.1.6</t>
  </si>
  <si>
    <t>3.1.7</t>
  </si>
  <si>
    <t>3.2.5</t>
  </si>
  <si>
    <t>3.2.6</t>
  </si>
  <si>
    <t>3.2.7</t>
  </si>
  <si>
    <t>3.3.5</t>
  </si>
  <si>
    <t>3.3.6</t>
  </si>
  <si>
    <t>3.3.7</t>
  </si>
  <si>
    <t>4.1.1</t>
  </si>
  <si>
    <t>4.1.2</t>
  </si>
  <si>
    <t>4.1.3</t>
  </si>
  <si>
    <t>4.1.4</t>
  </si>
  <si>
    <t>4.1.5</t>
  </si>
  <si>
    <t>4.1.6</t>
  </si>
  <si>
    <t>4.1.7</t>
  </si>
  <si>
    <t>Coal - Washed Coal</t>
  </si>
  <si>
    <t>Rs./MT</t>
  </si>
  <si>
    <t>Others (Washing charges)</t>
  </si>
  <si>
    <t xml:space="preserve">Total Washed Coal </t>
  </si>
  <si>
    <t>E</t>
  </si>
  <si>
    <t>Oil - HSD</t>
  </si>
  <si>
    <t>Others (Additional VAT)</t>
  </si>
  <si>
    <t xml:space="preserve">Total HSD
</t>
  </si>
  <si>
    <t>Oil -LSHS</t>
  </si>
  <si>
    <t>Total LSHS</t>
  </si>
  <si>
    <t>F</t>
  </si>
  <si>
    <t>G</t>
  </si>
  <si>
    <t>unit/kWh</t>
  </si>
  <si>
    <t>unit</t>
  </si>
  <si>
    <t xml:space="preserve">HO Deprciation </t>
  </si>
  <si>
    <t>Communication Equipments</t>
  </si>
  <si>
    <t>I.T. Equipment</t>
  </si>
  <si>
    <t>Software</t>
  </si>
  <si>
    <t>RIGHT TO USE OF KGSC LEASE ASSET STAGE I &amp; II</t>
  </si>
  <si>
    <t>Revenue loss/(gain) due to higher auxiliary consumption</t>
  </si>
  <si>
    <t>Revenue for True Up</t>
  </si>
  <si>
    <t>Add : Pay revision</t>
  </si>
  <si>
    <t>Add : water charges</t>
  </si>
  <si>
    <t>Sharing of Auxiliary Energy Consumption (AEC)</t>
  </si>
  <si>
    <t xml:space="preserve">FY </t>
  </si>
  <si>
    <t>Actual Gross Generation 
(MU)</t>
  </si>
  <si>
    <t>Normative AEC 
%</t>
  </si>
  <si>
    <t>Actual AEC 
%</t>
  </si>
  <si>
    <t>Lesser/ (Additional) energy sale (MU)</t>
  </si>
  <si>
    <t>Rate of Energy Charge 
(Rs. kWh)</t>
  </si>
  <si>
    <t>Revenue Loss due to higher AEC
(Rs. Cr)</t>
  </si>
  <si>
    <t>Sharing of Efficiency (Gain)/Loss</t>
  </si>
  <si>
    <t>To be approved</t>
  </si>
  <si>
    <t>Target Availability</t>
  </si>
  <si>
    <t>Total AFC</t>
  </si>
  <si>
    <t>Less: water charges</t>
  </si>
  <si>
    <t>AFC Reduction</t>
  </si>
  <si>
    <t>Reduced AFC</t>
  </si>
  <si>
    <t>Reduced AFC plus water charges</t>
  </si>
  <si>
    <t>UoM</t>
  </si>
  <si>
    <t>FY 22-23</t>
  </si>
  <si>
    <t>FY 23-24</t>
  </si>
  <si>
    <t>FY 24-25</t>
  </si>
  <si>
    <t>Working of AFC Reduction:</t>
  </si>
  <si>
    <t>Total Employee Expense incl. Pay Revision arrears</t>
  </si>
  <si>
    <t>Form 3:  Summary of Operations and Maintenance Expenses</t>
  </si>
  <si>
    <t>DPR</t>
  </si>
  <si>
    <t>Date of Submission</t>
  </si>
  <si>
    <t xml:space="preserve">Cost as per DPR  Crs. </t>
  </si>
  <si>
    <t>Old Asset retired against capitalised item (in Rs. Cr)</t>
  </si>
  <si>
    <t>Current Status</t>
  </si>
  <si>
    <t>N.A.</t>
  </si>
  <si>
    <t>Not Initiated</t>
  </si>
  <si>
    <t>A) DPR Schemes</t>
  </si>
  <si>
    <t>Scheme</t>
  </si>
  <si>
    <t>WIP</t>
  </si>
  <si>
    <t>Partially Capitalised</t>
  </si>
  <si>
    <t>Replacement of economizer &amp; LTSH coils at Unit # 2</t>
  </si>
  <si>
    <t>Non-DPR</t>
  </si>
  <si>
    <t>Capitalised</t>
  </si>
  <si>
    <t>Replacement of Economiser Coil</t>
  </si>
  <si>
    <t>Capitalization done in FY-2011-12 of Rs.3.47 Cr..</t>
  </si>
  <si>
    <t>Cancelled</t>
  </si>
  <si>
    <t>To be cancelled</t>
  </si>
  <si>
    <t>Replacement of LTSH Coil</t>
  </si>
  <si>
    <t>Capitalization done in FY-2011-12 of Rs.5.32 Cr.</t>
  </si>
  <si>
    <t>To be confirmed</t>
  </si>
  <si>
    <t>Boiler and Turbine improvement
(Station Heat Rate Improvement)</t>
  </si>
  <si>
    <t>Vent condenser performance improvement by replacement of eroded tube nest by unit 3.</t>
  </si>
  <si>
    <t>The scheme implemented via R&amp;M expenditure.</t>
  </si>
  <si>
    <t>Replacement of major extraction valves &amp;NRVs of unit 3</t>
  </si>
  <si>
    <t>Deffered</t>
  </si>
  <si>
    <t>60% replacement of boiler skin insulation (Unit 2)</t>
  </si>
  <si>
    <t>Replacement of DM make up ( unit 3) and GSH water pump.( units 2 &amp;3)</t>
  </si>
  <si>
    <t>Capitalization done in FY-2015-16 of Rs.0.26 Cr.</t>
  </si>
  <si>
    <t>Replacement of LTSH coils (unit 3)</t>
  </si>
  <si>
    <t>Capitalization done in FY-2016-17 of Rs.5.32 Cr.</t>
  </si>
  <si>
    <t>Replacement of ECO coils (unit 3)</t>
  </si>
  <si>
    <t>Capitalization done in FY-2016-17 of Rs.3.47 Cr.</t>
  </si>
  <si>
    <t>Replacement of old LT AHP pump impeller by energy efficient stainless steel impeller</t>
  </si>
  <si>
    <t>Capitalization done in FY-2015-16 of Rs.0.15 Cr.</t>
  </si>
  <si>
    <t>Measuring and Monitoring of Coal consumption</t>
  </si>
  <si>
    <t>Belt Weighers</t>
  </si>
  <si>
    <t xml:space="preserve">Fully automatic pit-less in motion weigh bridges </t>
  </si>
  <si>
    <t>Installation side arm charger for Wagon tippler 1A &amp; 1B</t>
  </si>
  <si>
    <t>Dust Extraction System at Secondary Crusher house &amp; Conveyor 6A/B at stage II CHP</t>
  </si>
  <si>
    <t>Fogging system at 
a) WT old along with PCR, SCR and bunker level belt at Stage I CHP
b) Conveyor 7A/B
c) 100 Mtrx100 Mtr Coal stock area
d) 200 Mtrx200 Mtr Coal stock area</t>
  </si>
  <si>
    <t xml:space="preserve"> Fugitive dust will be controlled.</t>
  </si>
  <si>
    <t xml:space="preserve">Bunker level montoring system for 12 bunkers </t>
  </si>
  <si>
    <t xml:space="preserve">Rotary pneumatic or electrical hammers </t>
  </si>
  <si>
    <t xml:space="preserve">Enhancement of unloading capacity of CHP from 360 TPH to 500 TPH </t>
  </si>
  <si>
    <t>Quick detection of poor coal quality through CCTV on overhead watch
tower focused onto the wagons, over which the rake passes at low
speed &amp; various conveyor tunnels</t>
  </si>
  <si>
    <t xml:space="preserve">Motor controller for conveyor motors of Stage II CHP </t>
  </si>
  <si>
    <t xml:space="preserve">We can monitor the condition of coal &amp; hence work monitoring system will be improved.    </t>
  </si>
  <si>
    <t>Procurement of a CHN apparatus for ultimate analysis for operational optimization and coal mapping studies.</t>
  </si>
  <si>
    <t xml:space="preserve">Additional bomb calorimeter </t>
  </si>
  <si>
    <t>Statutory requirement as per CSA</t>
  </si>
  <si>
    <t xml:space="preserve">TGA analysis of the coal for operational optimization. </t>
  </si>
  <si>
    <t>Turbine Auxiliary Performance Improvements</t>
  </si>
  <si>
    <t>MERC/CAPEX/20122013/02107</t>
  </si>
  <si>
    <t>Procurement and installation and commissioning of modified upgraded boiler feed pump (Type -200KHI/S) having energy efficient cartridge for unit 2 &amp; 3 , BTPS.</t>
  </si>
  <si>
    <t>• Reduction in auxiliary consumption by installing energy efficient pumps.
• Increase in life of equipment.
• Reduction in maintenance costs
• Increase in efficiency of the pump.
• Increase in availability of the equipment.</t>
  </si>
  <si>
    <t>Capitalization done in FY-2015-16 of Rs.8.60 Cr.+Add Cap-0.05 Cr (FY 2021-2022).</t>
  </si>
  <si>
    <t>Replacement of brine pumps with modified pumps complete with S.S material in new WTP</t>
  </si>
  <si>
    <t>Capitalization done in FY-2014-15 of Rs.0.17 &amp; FY-2015-16 of Rs.0.13 Cr.</t>
  </si>
  <si>
    <t>Replacement of Platen water wall coils U#2,Super Heater &amp; Platen Super Heater Coils for U#2 and Cold Reheater coils for U#2 &amp; U#3</t>
  </si>
  <si>
    <t>MERC/TECH-1/CAPEX/20142015/006</t>
  </si>
  <si>
    <t>Supply &amp; Erection of Platen Water wall coils Assembly from inlet header to outlet header in pent house for Unit No 2</t>
  </si>
  <si>
    <t>• Reduction in boiler tube leakage area at least by 1 per year.
• Reduction in maintenance costs. 
• Reduction in Gen  Loss in frequent start ups due to BTL. 
• Increases in  loadability and long term availability of the Unit.</t>
  </si>
  <si>
    <t>Complete Supply &amp; Erection of Super Heater Radiant Roof Panel Tube  with Attachment  for Unit No 2 Boiler From front side of Boiler to rear side of boiler &amp; Vertical Platen Super Heater coils Assembly for Unit No 2, 210 MW Boiler.</t>
  </si>
  <si>
    <t>Supply &amp; Erection of Reheater front Pendent Assembly consisting Full set of Cold Reheater coil assembly For Unit No 2 with necessary attachments, Crown Plate. Heat shield, roof seal bend, steam cooled spacer tube with necessary attachment.</t>
  </si>
  <si>
    <t>Capitalization done in FY-2014-15 of Rs.4.07 &amp; FY-2015-16 of Rs.1.40 Cr.</t>
  </si>
  <si>
    <t>Supply &amp; Erection of Reheater front Pendent Assembly consisting Full set of Cold Reheater coil assembly For Unit No 3 with necessary attachments, Crown Plate. Heat shield, roof seal bend, steam cooled spacer tube with necessary attachment.</t>
  </si>
  <si>
    <t>Capitalization done in FY-2014-15 of Rs.2.35 Cr.</t>
  </si>
  <si>
    <t>Boiler Process Improvement by replacement of damaged valves and Boiler Perfm Imp by Air Pre-Heater Up gradation of U#2 &amp; U#3 at BTPS</t>
  </si>
  <si>
    <t>MERC/Tech-1/CAPEX /2014-15/00433</t>
  </si>
  <si>
    <t>Replacement of boiler outlet valves and damaged valves of units 2 &amp; 3</t>
  </si>
  <si>
    <t>• Replacement of drain valves will reduce steam leakages and passing.
• Saving in DM water consumption by 20 MT per day ..
• Replacement of Boiler outlet valve will reduce steam leakages and passing (During hydraulic test of boiler no passing is expected).</t>
  </si>
  <si>
    <t>U#2 -Scheme is defered as per competent authority.
U#3 - Capitalization done in FY-2014-15 of Rs.0.45 &amp; FY-2015-16 of Rs.0.95 Cr.</t>
  </si>
  <si>
    <t>Air pre heater up gradation of heat exchanger matrix &amp; regenerative dynamic sealing of units 2 &amp; 3</t>
  </si>
  <si>
    <t>• Up gradation of  heat  exchanger  matrix  will  increase  the  life  of  basket  there by  reduces the frequency of basket replacement.
• Upgraded  material  for  heat  exchanger  matrix  will  improve  heat  transfer  which  will  improve APH flue gas outlet temperatures.
• Dynamic sealing will improve air pre heater performance
• Auxiliary consumption of ID/PA fan will be reduced.</t>
  </si>
  <si>
    <t>Capitalization done in FY-2014-15 of Rs.0.91 &amp; FY-2015-16 of Rs.0.30 Cr.</t>
  </si>
  <si>
    <t>Stack management by procurement of Bulldozer &amp; LOCO and CHP area schemes for performance &amp; unloading improvement</t>
  </si>
  <si>
    <t>MERC/CAPEX/20162017/01426</t>
  </si>
  <si>
    <t>Procurement of Locomotive 800 HP (2 No.’s)</t>
  </si>
  <si>
    <t>1st loco - 23-11-2018
2nd loco -13-02-2019</t>
  </si>
  <si>
    <t xml:space="preserve">* Improvement in coal rake movement, shunting operation and placement of coal wagons at different tippler units at CHP-500 MW, BTPS.It results in increase in average unloading rate of rakes. Average unloading rate of coal wagons per hour is increased to 12 wagons/hrs from 6 to 8 wagons /hr at CHP-500 MW, BTPS.
* Average unloading of coal wagons per day is increased to 300 to 350.Avg unloading time per rake in hour is reduced from 10 hr to 6 hr since commissioning.
* Reduction in demurrage hours &amp; maintain sufficient bunker level by maintaining coal feeding rate due to efficient coal rake movement with the help of new locomotives. 
* R&amp;M expenditure against the locomotives since commissioning is nil.
* Availability &amp; reliability of new locomotives is maximum i.e. 90 to 95 % since commissioning.       
* Performance and efficiency of locomotives since commissioning is maximum. 
* Procurement for maintenance against these locomotives since commissioning is almost Nil. 
* Decrease in downtime of system resulting into overall improvement in system efficiency
</t>
  </si>
  <si>
    <t xml:space="preserve">PO placed vide-HO/4370001547/No-07347 dated 19-06-2018.
1st loco- Material received on dtd. 23-11-2018.
Commisioning done on dtd.01-12-2018. 
2nd loco - Material received on dtd. 13-02-2019.
Commisioning done on dtd.26-03-2019. 
Total Capitalization done in FY-2018-19 of Rs. 5.84 Cr.. Rs.4.83 Cr. amount capitalized in U#4 &amp; 5 and Rs. 1.01 capitalized in U#3.  </t>
  </si>
  <si>
    <t>Procurement of 2 No’s of Bulldozer Model D-155(2 No.’s)</t>
  </si>
  <si>
    <t xml:space="preserve">* Contribution in reduction of demurrage hours by doing proper coal stack management with help of bulldozers.
*  For maintaining the proper coal flow rate as per load demand while in reclaiming mode (dozing the coal from remote location to vicinity of the stacker reclaimer area).       
* O&amp;M expenditure on these bulldozers since commissioning is very less i.e. around 5 to 6.20 % per year asset cost. 
* Availability and reliability of bulldozers are around 90 to 95% since commissioning. 
* Performance and efficiency of bulldozers since commissioning is maximum. 
* Procurement for maintenance against these bulldozers since commissioning is almost nil. 
* Decrease in downtime of system resulting into overall improvement in system efficiency. 
</t>
  </si>
  <si>
    <t>PO placed vide-HO/4370001085/No-010160 dated 18-08-2017.
Work completed on 13-09-2017. Capitalization done in FY-2017-18 of Rs. 4.2 Cr.
Rs. 3.47 Cr. amount capitalized in U#4 &amp; 5 and Rs.0.73 capitalized in U#3.</t>
  </si>
  <si>
    <t>Modification below primary crusher chutes 15A/B &amp; Conv.02</t>
  </si>
  <si>
    <t>1)Daily outage of the system is reduced almost 100%   
2)Wear and tear of the plates reduced.Due to these scheme system failure reduced in finacial year 20-21 around 20 lakh Rs saving done &amp; in finacial year 21-22 around 17 lakh Rs saving done</t>
  </si>
  <si>
    <t>PO placed vide-HO/4370000471/No-04816 dated 19-07-2017.
Work completed on 01-02-2018. Capitalization done in FY-2017-18 of Rs. 0.38 Cr in U#4 &amp;5 and Rs.0.08 in U#3.</t>
  </si>
  <si>
    <t>New helical gear box for various conveyors</t>
  </si>
  <si>
    <t xml:space="preserve">Procurement of Elecon Make Ring Granulator Type TK-09-38B </t>
  </si>
  <si>
    <t>Procurement of Elecon Make Ring Granulator Type TK6 32B Ring Granulator</t>
  </si>
  <si>
    <t>Upgradation of Symphony Harmony DCS, 220V 1285 AH Battery &amp; Charger and Replacement of 6.6 kV HT MOCB by VCB at BTPS, Bhusawal</t>
  </si>
  <si>
    <t>MERC/CAPEX/2019-2020/915</t>
  </si>
  <si>
    <t>HMI Up-gradation of Symphony Harmony DCS Unit-3, 210MW, BTPS.</t>
  </si>
  <si>
    <t>Supply, erection, commissioning and site testing of Plante 220V DC, 1285 AH, Station Battery Set and charging equipment for 1285 AH Plante battery for Unit 3.</t>
  </si>
  <si>
    <t>Retrofitting of 6.6 kv breakers of unit -3 along without door plant boards by vacuum circuit breakers.</t>
  </si>
  <si>
    <t xml:space="preserve"> Order dispatched vide PO. No. 4370002074/856 dtd.08-11-2019. Capitalization done in FY-2020-21 of Rs.6.11Cr.</t>
  </si>
  <si>
    <t>HO
DPR-5</t>
  </si>
  <si>
    <t>Procurement of energy efficient HT motors at Bhusawal TPS, Koradi TPS, Chandrapur TPS, khaperkheda TPS, Parli TPS &amp; Paras TPS as insurance spares</t>
  </si>
  <si>
    <t>MERC/TECH 1/CAPEX/20142015/01218</t>
  </si>
  <si>
    <t>Bhusawal: Procurement of HT motors (Coal Mill/CEP/CWP) for U-3</t>
  </si>
  <si>
    <t>To reduce auxilliary consumption &amp; spares and maintenance cost. To improve reliability of motors.</t>
  </si>
  <si>
    <t xml:space="preserve"> Order dispatched vide PO. No. 4370000782 dtd.08-11-2016. Capitalization done in FY-2018-19 of Rs.0.7 Cr.</t>
  </si>
  <si>
    <t>HO
DPR 6</t>
  </si>
  <si>
    <t>Supply, Installation, Commissioning and Operation &amp; Maintenance Services of Continuous Ambient Air Quality Monitoring Stations (CAAQMS) at various TPS</t>
  </si>
  <si>
    <t>MERC/CAPEX/20162017/00423</t>
  </si>
  <si>
    <t>Bhusawal: Unit 2-3 (1 Nos.)</t>
  </si>
  <si>
    <t>• Statutory norms of MPCB/CPCB/NGT achieved.
• Continuous monitoring of ambient air quality.
• Reduction in air pollution.</t>
  </si>
  <si>
    <t>PO placed vide -HO/4370001152/No-0386 dated 08-01-2019. Capitalization done in FY-2019-20 of Rs.1.88 Cr in U#4 &amp; 5 and Rs.0.94 Cr. In U#3.</t>
  </si>
  <si>
    <t>HO
DPR 7</t>
  </si>
  <si>
    <t>Installation of Real Time Online Coal-Ash Analyzer at various TPS</t>
  </si>
  <si>
    <t>MERC/CAPEX/20162017/00774</t>
  </si>
  <si>
    <t>Bhusawal: Unit 2-3</t>
  </si>
  <si>
    <t>(iii) Yet to be submitted to MERC</t>
  </si>
  <si>
    <t>B) Non-DPR Schemes</t>
  </si>
  <si>
    <t>Design, Supply and Installation for capacity enhancement of conveyor No. 08 at CHP210MW, BTPS.</t>
  </si>
  <si>
    <t>SPEAKER &amp; PTZ CAMER</t>
  </si>
  <si>
    <t>50 INCH TV &amp; 2TN AC</t>
  </si>
  <si>
    <t>Fixtures &amp; Fitting (10801)</t>
  </si>
  <si>
    <t>Office equpment (10901)</t>
  </si>
  <si>
    <t>Gearboxes for CHP Elecon Make</t>
  </si>
  <si>
    <t xml:space="preserve">Actual IoWC </t>
  </si>
  <si>
    <t>Add : Pay Revision Component</t>
  </si>
  <si>
    <t xml:space="preserve">Operation &amp; Maintenance Expenses Normative </t>
  </si>
  <si>
    <t>Operation &amp; Maintenance Expenses - Normative/actual</t>
  </si>
  <si>
    <t>ś</t>
  </si>
  <si>
    <t>Pay revision component</t>
  </si>
  <si>
    <t>Total AFC claim minus water charges</t>
  </si>
  <si>
    <t>Oct-Mar 
(Estimated)</t>
  </si>
  <si>
    <t>Approved/ Revised Normative</t>
  </si>
  <si>
    <t>HDS - Peak hours</t>
  </si>
  <si>
    <t>HDS- Off-peak hours</t>
  </si>
  <si>
    <t>LDS- Peak hours</t>
  </si>
  <si>
    <t>LDS- Off-peak hours</t>
  </si>
  <si>
    <t>Actual availability</t>
  </si>
  <si>
    <t>MTR Order</t>
  </si>
  <si>
    <t>Ensuing Years</t>
  </si>
  <si>
    <t>FY 2025-26</t>
  </si>
  <si>
    <t>FY 2026-27</t>
  </si>
  <si>
    <t>FY 2027-28</t>
  </si>
  <si>
    <t>FY 2028-29</t>
  </si>
  <si>
    <t>FY 2029-30</t>
  </si>
  <si>
    <t>MTR
Order</t>
  </si>
  <si>
    <t>MTR 
Order</t>
  </si>
  <si>
    <t>April-March
  (Audited )</t>
  </si>
  <si>
    <r>
      <rPr>
        <b/>
        <sz val="11"/>
        <rFont val="Times New Roman"/>
        <family val="1"/>
      </rPr>
      <t>Note</t>
    </r>
    <r>
      <rPr>
        <sz val="11"/>
        <rFont val="Times New Roman"/>
        <family val="1"/>
      </rPr>
      <t xml:space="preserve">: </t>
    </r>
  </si>
  <si>
    <t>Year: FY 2023-24</t>
  </si>
  <si>
    <t>Year: FY 2024-25</t>
  </si>
  <si>
    <t>Ensuing Year FY 2025-26</t>
  </si>
  <si>
    <t>Ensuing Year FY 2026-27</t>
  </si>
  <si>
    <t>Ensuing Year FY 2027-28</t>
  </si>
  <si>
    <t>Ensuing Year FY 2028-29</t>
  </si>
  <si>
    <t>Ensuing Year FY 2029-30</t>
  </si>
  <si>
    <t>(k) = (i) - (g)</t>
  </si>
  <si>
    <t>Year : FY 2022-23</t>
  </si>
  <si>
    <t>Year : FY 2023-24</t>
  </si>
  <si>
    <t>Normative Auxiliary Energy Consumption (Base)</t>
  </si>
  <si>
    <t>Normative Additional Aux: Selective Catalytic Reduction system</t>
  </si>
  <si>
    <t>Normative Additional Aux: Total</t>
  </si>
  <si>
    <t>Actual/Estimated/Projected: Selective Catalytic Reduction system</t>
  </si>
  <si>
    <t>Actual/Projected Auxiliary Energy Consumption - Total</t>
  </si>
  <si>
    <t>Normative  Aux COnsumption: Total</t>
  </si>
  <si>
    <t>Actual/Estimated/Projected Auxiliary Energy Consumption - Base</t>
  </si>
  <si>
    <t>Actual/normative/Projected Auxiliary Energy Consumption - Total</t>
  </si>
  <si>
    <t>Actual/Normative/Projected Auxiliary Energy Consumption with FGD</t>
  </si>
  <si>
    <t>Actual/Normative/Estimated/Projected Net Generation</t>
  </si>
  <si>
    <t>Normative Auxiliary Energy Consumption Base</t>
  </si>
  <si>
    <t>Actual/Estimated/Projected Auxiliary Energy Consumption Base</t>
  </si>
  <si>
    <t>Actual/Estimated Auxiliary Energy Consumption with FGD</t>
  </si>
  <si>
    <t>Actual/Estimated Additional Aux: Selective Catalytic Reduction system</t>
  </si>
  <si>
    <t>Actual/Estimated Additional Aux: Total</t>
  </si>
  <si>
    <t>Actual/Estimated/Projected/Normative Auxiliary Energy Consumption Base</t>
  </si>
  <si>
    <t>Actual/Estimated/Normative  Auxiliary Energy Consumption with FGD</t>
  </si>
  <si>
    <t>Actual/Estimated/Normative  Additional Aux: Selective Catalytic Reduction system</t>
  </si>
  <si>
    <t>Actual/Estimated/Normative  Additional Aux: Total</t>
  </si>
  <si>
    <t>B) Fifth Control Period</t>
  </si>
  <si>
    <t>Year:</t>
  </si>
  <si>
    <t>FY 2025-26 Projection</t>
  </si>
  <si>
    <t>FY 2026-27 Projection</t>
  </si>
  <si>
    <t>FY 2027-28 Projection</t>
  </si>
  <si>
    <t>FY 2028-29 Projection</t>
  </si>
  <si>
    <t>FY 2029-30 Projection</t>
  </si>
  <si>
    <t>A) FY 2022-23, FY 2023-24 &amp; FY 2024-25</t>
  </si>
  <si>
    <t>Maintenance Spares (% of Opg GFA)</t>
  </si>
  <si>
    <t>A) FY 2022-23</t>
  </si>
  <si>
    <t>Pay Revisiosn Impact</t>
  </si>
  <si>
    <t>Esc Rate</t>
  </si>
  <si>
    <t xml:space="preserve">Form 7:  Base Return on Regulatory Equity </t>
  </si>
  <si>
    <t>Supplementary bill</t>
  </si>
  <si>
    <t>FY 2022-23 Actual</t>
  </si>
  <si>
    <t>FY 2023-24 Approved</t>
  </si>
  <si>
    <t>FY 2023-24 Actual</t>
  </si>
  <si>
    <t>FY 2024-25 Approved</t>
  </si>
  <si>
    <t>FY 2024-25 Actual (Apr- Sep)</t>
  </si>
  <si>
    <t>FY 2024-25 Estimated</t>
  </si>
  <si>
    <t>FY 2025-26  Projected</t>
  </si>
  <si>
    <t>FY 2026-27 Projected</t>
  </si>
  <si>
    <t>FY 2027-28 Projected</t>
  </si>
  <si>
    <t>FY 2028-29 Projected</t>
  </si>
  <si>
    <t>FY 2029-30 Projected</t>
  </si>
  <si>
    <t xml:space="preserve">Ceiling AFC for recovery </t>
  </si>
  <si>
    <t>High Demand-Peak</t>
  </si>
  <si>
    <t>High Demand-Off Peak</t>
  </si>
  <si>
    <t>Low Demand-Peak</t>
  </si>
  <si>
    <t>Low Demand-Off Peak</t>
  </si>
  <si>
    <t xml:space="preserve">AFC recoverable without  adjustment as per Regulation 50.4 </t>
  </si>
  <si>
    <t xml:space="preserve">Shortfall in recovery during off peak hours </t>
  </si>
  <si>
    <t>Notional overrecovery in peak hours (Rs. Crore)</t>
  </si>
  <si>
    <t>Adjustment as per Regulation 50.4 (Rs. Crore)</t>
  </si>
  <si>
    <t>Price variation 71 Group</t>
  </si>
  <si>
    <t>Payments to railway staff-Fixed</t>
  </si>
  <si>
    <t xml:space="preserve">Material Variance cost - O &amp; M                    </t>
  </si>
  <si>
    <t xml:space="preserve">Income of LD recovery-Reduced from R&amp; M </t>
  </si>
  <si>
    <t>Commission to agents</t>
  </si>
  <si>
    <t>Consumption Lubricants &amp; consumables</t>
  </si>
  <si>
    <t>Consumption Lubricants &amp; consumables-Fi</t>
  </si>
  <si>
    <t>Commission to agents-Fixed</t>
  </si>
  <si>
    <t>Demurrage on oil receipts</t>
  </si>
  <si>
    <t xml:space="preserve">Revenue from SOP to Colony and others </t>
  </si>
  <si>
    <t>Net Revenue Requirement</t>
  </si>
  <si>
    <t>MYT Petition Formats - Generation</t>
  </si>
  <si>
    <t>Form 5.1 (N): Assets &amp; Depreciation - New Schemes  (not covered under Existing Assets)</t>
  </si>
  <si>
    <t>(m) = (i)+(j)-(k)-(l)</t>
  </si>
  <si>
    <t>(q) = (m)+(n)-(o)-(p)</t>
  </si>
  <si>
    <t>(u)=(q)+(r)</t>
  </si>
  <si>
    <t>Form 5.1 (E): Assets &amp; Depreciation- Existing Schemes (CoD on or before the March 31, 2025 or Assets in-principally approved  before the notification of MERC MYT Regulations 2024)</t>
  </si>
  <si>
    <t>(ac)</t>
  </si>
  <si>
    <t>(ad)</t>
  </si>
  <si>
    <t>(ae)</t>
  </si>
  <si>
    <t>(af)</t>
  </si>
  <si>
    <t>(ag) = (ac)+(ad)-(ae)-(af)</t>
  </si>
  <si>
    <r>
      <rPr>
        <b/>
        <sz val="11"/>
        <rFont val="Times New Roman"/>
        <family val="1"/>
      </rPr>
      <t>Note</t>
    </r>
    <r>
      <rPr>
        <sz val="11"/>
        <rFont val="Times New Roman"/>
        <family val="1"/>
      </rPr>
      <t>: * In case MTR Order is yet to be issued, MYT Order values are to be entered here</t>
    </r>
  </si>
  <si>
    <r>
      <rPr>
        <b/>
        <sz val="11"/>
        <rFont val="Times New Roman"/>
        <family val="1"/>
      </rPr>
      <t>Note</t>
    </r>
    <r>
      <rPr>
        <sz val="11"/>
        <rFont val="Times New Roman"/>
        <family val="1"/>
      </rPr>
      <t>: # Equity balance for the fifth Control Period exceeding the difference between the sum of cumulative ROE allowed, efficiency gains /losses, incentives and disincentives &amp; income earned from investment of return on equity, and the cumulative equity investment approved by the Commission in previous years, shall be supported by documentary evidence</t>
    </r>
  </si>
  <si>
    <t>**Any additional capitalization after cut-off date excluding due to Change in Law shall be as per the second proviso of Regulation 29.1 of the MERC MYT Regulations, 2024</t>
  </si>
  <si>
    <t>$$ Pre tax Retrun on Equity to be considered as computed in Form 12 based on Income tax rate approved</t>
  </si>
  <si>
    <t>Form 19: PLF Incentive</t>
  </si>
  <si>
    <t>Capacity</t>
  </si>
  <si>
    <t>Normative Availability</t>
  </si>
  <si>
    <t>Actual Availability during peak hours</t>
  </si>
  <si>
    <t>Actual Availability during off-peak hours</t>
  </si>
  <si>
    <t>Normative Generation during peak hours</t>
  </si>
  <si>
    <t>Normative Generation during off-peak hours</t>
  </si>
  <si>
    <t>Actual Generation during peak hours</t>
  </si>
  <si>
    <t>Actual Generation during off-peak hours</t>
  </si>
  <si>
    <t>Excess Energy during peak hours</t>
  </si>
  <si>
    <t>Excess Energy during off-peak hours</t>
  </si>
  <si>
    <t>Incentive during peak hours</t>
  </si>
  <si>
    <t>Rs/Unit</t>
  </si>
  <si>
    <t>Incentive during off peak hours</t>
  </si>
  <si>
    <t>Total Incentive</t>
  </si>
  <si>
    <t>As per Regulation 44.3, the Special Allowance admissible to a generating station shall be maximum upto INR 10.75 lakh per MW per year for the control period.</t>
  </si>
  <si>
    <t>xxx</t>
  </si>
  <si>
    <t>Unit 1</t>
  </si>
  <si>
    <t>XXX</t>
  </si>
  <si>
    <t>Ensuing Years (Rs Lakh)</t>
  </si>
  <si>
    <t>Year of 
completion 
of useful life 
of 25 years</t>
  </si>
  <si>
    <t>Date of COD</t>
  </si>
  <si>
    <t>Capacity (MW)</t>
  </si>
  <si>
    <t>Fuel Type/Hydro</t>
  </si>
  <si>
    <t>Generating Stations</t>
  </si>
  <si>
    <t>Form 18: Special Allowance</t>
  </si>
  <si>
    <t>MYT Formats - Generation</t>
  </si>
  <si>
    <t>Capital Cost Approval Petition Formats - Generation</t>
  </si>
  <si>
    <t>Form 14.1 - Project Schedule</t>
  </si>
  <si>
    <t>Scheduled Date of Commercial Operation</t>
  </si>
  <si>
    <t>Actual Date of Commercial Operation</t>
  </si>
  <si>
    <t>Reasons for Delay, if any</t>
  </si>
  <si>
    <t>Liquidated Damages recoverable as per provisions of Contract*</t>
  </si>
  <si>
    <r>
      <rPr>
        <b/>
        <sz val="11"/>
        <rFont val="Times New Roman"/>
        <family val="1"/>
      </rPr>
      <t>Note</t>
    </r>
    <r>
      <rPr>
        <sz val="11"/>
        <rFont val="Times New Roman"/>
        <family val="1"/>
      </rPr>
      <t>: * Copies of Contract to be submitted</t>
    </r>
  </si>
  <si>
    <t>Not Applicable</t>
  </si>
  <si>
    <t>Form 14.2 - Abstract of Capital Cost</t>
  </si>
  <si>
    <t>Capital Cost as per Original Estimates*</t>
  </si>
  <si>
    <t>Actual Capital Cost on COD (Unit-1)</t>
  </si>
  <si>
    <t>Actual Capital Cost on COD (Unit-2)</t>
  </si>
  <si>
    <t>… … …</t>
  </si>
  <si>
    <t>Actual Capital Cost on COD of Station or all Units</t>
  </si>
  <si>
    <t>Capital Cost excluding IDC &amp; Financing Charges</t>
  </si>
  <si>
    <t>Component 1</t>
  </si>
  <si>
    <t>Component 2</t>
  </si>
  <si>
    <t>Capital cost excluding IDC &amp; Financing Charges</t>
  </si>
  <si>
    <t>Interest During Construction (IDC) &amp; Financing Charges (FC)</t>
  </si>
  <si>
    <t>Total IDC &amp; FC</t>
  </si>
  <si>
    <t>Capital cost Including IDC &amp; Financing Charges</t>
  </si>
  <si>
    <t>Note: * Original Estimate of Capital Cost to be submitted for the Units for which Capital Cost approval is being sought</t>
  </si>
  <si>
    <t>Form 14.3 - Break-up of Capital Cost</t>
  </si>
  <si>
    <t xml:space="preserve">Break Down </t>
  </si>
  <si>
    <t>Break up of Capital Cost</t>
  </si>
  <si>
    <t xml:space="preserve">Variation </t>
  </si>
  <si>
    <t>Reasons for Variation</t>
  </si>
  <si>
    <t>Ordering Cost</t>
  </si>
  <si>
    <t>As  on COD of Unit-Name</t>
  </si>
  <si>
    <t>As  on COD of Unit-…</t>
  </si>
  <si>
    <t>Consolidated as  on COD of Station</t>
  </si>
  <si>
    <t>Contractors</t>
  </si>
  <si>
    <t>Foreign Currency Component (Specify Currency)</t>
  </si>
  <si>
    <t>Domestic Component</t>
  </si>
  <si>
    <t>Total Cost</t>
  </si>
  <si>
    <t>(c) = (a) + (b)</t>
  </si>
  <si>
    <t>(f) = (d) + (e)</t>
  </si>
  <si>
    <t>(i) = (g) + (h)</t>
  </si>
  <si>
    <t>(j) = (d) + (g)</t>
  </si>
  <si>
    <t>(k) = (e) + (h)</t>
  </si>
  <si>
    <t>(l) = (j) + (k)</t>
  </si>
  <si>
    <t>(m) = (l) - (c)</t>
  </si>
  <si>
    <t xml:space="preserve">Cost of Land &amp; Site Development  </t>
  </si>
  <si>
    <t xml:space="preserve">Land </t>
  </si>
  <si>
    <t>Rehabilitation &amp; Resettlement  (R&amp;R)</t>
  </si>
  <si>
    <t>Preliminary Investigation &amp; Site development</t>
  </si>
  <si>
    <t xml:space="preserve">Total  Land &amp; Site Development </t>
  </si>
  <si>
    <t>Plant &amp; Equipment (BTG)</t>
  </si>
  <si>
    <t>Steam Generator Island</t>
  </si>
  <si>
    <t>SG &amp; Auxiliaries</t>
  </si>
  <si>
    <t>ESP,ID,FD,PA Fans &amp;Other Boiler Auxiliaries</t>
  </si>
  <si>
    <t>Mills</t>
  </si>
  <si>
    <t>SG HT Motor</t>
  </si>
  <si>
    <t>SG Controls</t>
  </si>
  <si>
    <t>Ceraline Bends</t>
  </si>
  <si>
    <t>HVR with EC</t>
  </si>
  <si>
    <t>2.1.8</t>
  </si>
  <si>
    <t>Critical Piping</t>
  </si>
  <si>
    <t>Turbine Generator Island</t>
  </si>
  <si>
    <t>TG and Auxiliaries</t>
  </si>
  <si>
    <t>Power Cycle Pumps,LP Heaters 2&amp; 3,Drain Cooler,HP Heaters,Deaearators</t>
  </si>
  <si>
    <t>TG HT Motors,ACWP Motors</t>
  </si>
  <si>
    <t>TG Controls</t>
  </si>
  <si>
    <t>RE Joints &amp; Butterfly Valves,Misc.Tanks,Condensor&amp; Heat Exchanger</t>
  </si>
  <si>
    <t>Valves</t>
  </si>
  <si>
    <t>Other Misc.Items</t>
  </si>
  <si>
    <t>2.2.8</t>
  </si>
  <si>
    <t>CPU,DM Storage Tank,Condensate Storage Tank,Structural Steel.</t>
  </si>
  <si>
    <t>2.2.9</t>
  </si>
  <si>
    <t>TG Cycle Piping &amp; LP Piping</t>
  </si>
  <si>
    <t>2.2.10</t>
  </si>
  <si>
    <t>Other</t>
  </si>
  <si>
    <t>2.2.11</t>
  </si>
  <si>
    <t>Generator Transformer,Station Transformer</t>
  </si>
  <si>
    <t>2.2.12</t>
  </si>
  <si>
    <t>6.6 KV Switchgear &amp; Relay Panels&amp; Bus Transfer Scheme</t>
  </si>
  <si>
    <t>2.2.13</t>
  </si>
  <si>
    <t>Station C&amp;I + OCAMMS</t>
  </si>
  <si>
    <t>2.2.14</t>
  </si>
  <si>
    <t>UAT,DTT</t>
  </si>
  <si>
    <t>2.2.15</t>
  </si>
  <si>
    <t>SPB &amp; IBP</t>
  </si>
  <si>
    <t>2.2.16</t>
  </si>
  <si>
    <t>CW Pumps</t>
  </si>
  <si>
    <t>2.2.17</t>
  </si>
  <si>
    <t>CW Pump Motor</t>
  </si>
  <si>
    <t>BOP Mechanical</t>
  </si>
  <si>
    <t>2.3.1</t>
  </si>
  <si>
    <t>Water Treatment Plant</t>
  </si>
  <si>
    <t>2.3.2</t>
  </si>
  <si>
    <t>Fire Protection Alarm &amp; Detection System</t>
  </si>
  <si>
    <t>2.3.3</t>
  </si>
  <si>
    <t>Fuel Oil System</t>
  </si>
  <si>
    <t>2.3.4</t>
  </si>
  <si>
    <t>Coal Handling System</t>
  </si>
  <si>
    <t>2.3.5</t>
  </si>
  <si>
    <t>NDCT (Elec &amp;Mech. Supply Items)</t>
  </si>
  <si>
    <t>2.3.6</t>
  </si>
  <si>
    <t>Chimney Supply Components</t>
  </si>
  <si>
    <t>2.3.7</t>
  </si>
  <si>
    <t>Log Gates,Screensfor RWPH &amp; CWPH</t>
  </si>
  <si>
    <t>2.3.8</t>
  </si>
  <si>
    <t>CW Piping Material</t>
  </si>
  <si>
    <t>2.3.9</t>
  </si>
  <si>
    <t>Fitting for CW System</t>
  </si>
  <si>
    <t>2.3.10</t>
  </si>
  <si>
    <t>ACW Piping Material</t>
  </si>
  <si>
    <t>2.3.11</t>
  </si>
  <si>
    <t>Fittings for ACW System</t>
  </si>
  <si>
    <t>2.3.12</t>
  </si>
  <si>
    <t>WTP Chemicals</t>
  </si>
  <si>
    <t>2.3.13</t>
  </si>
  <si>
    <t>Chlorination Plant</t>
  </si>
  <si>
    <t>2.3.14</t>
  </si>
  <si>
    <t>LP Pipings &amp; Fittings</t>
  </si>
  <si>
    <t>2.3.15</t>
  </si>
  <si>
    <t>Supports for LP Piping</t>
  </si>
  <si>
    <t>2.3.16</t>
  </si>
  <si>
    <t>Miscellaneous Pumps</t>
  </si>
  <si>
    <t>2.3.17</t>
  </si>
  <si>
    <t>Miscellaneous Cranes &amp; Hoists</t>
  </si>
  <si>
    <t>2.3.18</t>
  </si>
  <si>
    <t>Turbine EOT Crane</t>
  </si>
  <si>
    <t>2.3.19</t>
  </si>
  <si>
    <t>CHP Other Mechanical Works (DE/DS System)</t>
  </si>
  <si>
    <t>2.3.20</t>
  </si>
  <si>
    <t>Ash Handling(Main Plant)</t>
  </si>
  <si>
    <t>2.3.21</t>
  </si>
  <si>
    <t>HCSD Pumps</t>
  </si>
  <si>
    <t>2.3.22</t>
  </si>
  <si>
    <t>Ash Disposal Piping</t>
  </si>
  <si>
    <t>2.3.23</t>
  </si>
  <si>
    <t>Mill Reject Handling System</t>
  </si>
  <si>
    <t>2.3.24</t>
  </si>
  <si>
    <t>Instrument/Service Air Compressors</t>
  </si>
  <si>
    <t>2.3.25</t>
  </si>
  <si>
    <t>Dryers</t>
  </si>
  <si>
    <t>2.3.26</t>
  </si>
  <si>
    <t>Equipment for Testing,Monitoring &amp; Control of Pollution</t>
  </si>
  <si>
    <t>2.3.27</t>
  </si>
  <si>
    <t>Gas Bottles</t>
  </si>
  <si>
    <t>2.3.28</t>
  </si>
  <si>
    <t>Lab Equipments &amp; Reagents</t>
  </si>
  <si>
    <t>2.3.29</t>
  </si>
  <si>
    <t>Passenger Lifts</t>
  </si>
  <si>
    <t>2.3.30</t>
  </si>
  <si>
    <t>Paints for Equipment &amp; System</t>
  </si>
  <si>
    <t>2.3.31</t>
  </si>
  <si>
    <t>2.3.32</t>
  </si>
  <si>
    <t>Ventilation</t>
  </si>
  <si>
    <t>2.3.33</t>
  </si>
  <si>
    <t>Vibration Isolation Springs (TG &amp; Auxiliary Equip)</t>
  </si>
  <si>
    <t>Total BOP Mechanical</t>
  </si>
  <si>
    <t>BOP Electrical</t>
  </si>
  <si>
    <t>2.4.1</t>
  </si>
  <si>
    <t>Power Transformer</t>
  </si>
  <si>
    <t>2.4.2</t>
  </si>
  <si>
    <t>Service Transformer</t>
  </si>
  <si>
    <t>2.4.3</t>
  </si>
  <si>
    <t>NSPBD (Bus Ducts)</t>
  </si>
  <si>
    <t>2.4.4</t>
  </si>
  <si>
    <t>LT Switchgear</t>
  </si>
  <si>
    <t>2.4.5</t>
  </si>
  <si>
    <t>HT,LT,Power Control &amp;Instrumentation &amp; Communication Cables</t>
  </si>
  <si>
    <t>2.4.6</t>
  </si>
  <si>
    <t>Cable Terminations</t>
  </si>
  <si>
    <t>2.4.7</t>
  </si>
  <si>
    <t>Cable Trays</t>
  </si>
  <si>
    <t>2.4.8</t>
  </si>
  <si>
    <t>Lighting Fixtures &amp; Accessories</t>
  </si>
  <si>
    <t>2.4.9</t>
  </si>
  <si>
    <t>Fire Proof Sealing System</t>
  </si>
  <si>
    <t>2.4.10</t>
  </si>
  <si>
    <t>Plant Communication System</t>
  </si>
  <si>
    <t>2.4.11</t>
  </si>
  <si>
    <t>Baterry &amp; Battery Chargers</t>
  </si>
  <si>
    <t>2.4.12</t>
  </si>
  <si>
    <t>Earthing And Lightening Protection</t>
  </si>
  <si>
    <t>2.4.13</t>
  </si>
  <si>
    <t>Emergency DG Set</t>
  </si>
  <si>
    <t>2.4.14</t>
  </si>
  <si>
    <t>UPS System</t>
  </si>
  <si>
    <t>2.4.15</t>
  </si>
  <si>
    <t>CHP Electrical,C&amp;I</t>
  </si>
  <si>
    <t>2.4.16</t>
  </si>
  <si>
    <t>Total BOP Electrical</t>
  </si>
  <si>
    <t>Total BoP E&amp;M</t>
  </si>
  <si>
    <t>Control &amp; Instrumentation (C &amp; I)   Package</t>
  </si>
  <si>
    <t>Control &amp; Instrumentation Package</t>
  </si>
  <si>
    <t>Other E&amp;M Works</t>
  </si>
  <si>
    <t>Total Plant &amp; Equipment including taxes &amp; Duties</t>
  </si>
  <si>
    <t>Taxes and Duties</t>
  </si>
  <si>
    <t>2.6.1</t>
  </si>
  <si>
    <t>Custom Duty</t>
  </si>
  <si>
    <t>2.6.2</t>
  </si>
  <si>
    <t>Other Taxes &amp; Duties</t>
  </si>
  <si>
    <t>2.6.3</t>
  </si>
  <si>
    <t>Total Taxes &amp; Duties</t>
  </si>
  <si>
    <t>2.6.4</t>
  </si>
  <si>
    <t xml:space="preserve">Total Plant &amp; Equipment  </t>
  </si>
  <si>
    <t>Initial spares</t>
  </si>
  <si>
    <t>Civil Works</t>
  </si>
  <si>
    <t>Main plant/Adm. Building</t>
  </si>
  <si>
    <t>CW system</t>
  </si>
  <si>
    <t>Cooling Towers</t>
  </si>
  <si>
    <t xml:space="preserve">DM water Plant </t>
  </si>
  <si>
    <t>Clarification plant</t>
  </si>
  <si>
    <t>Chlorination plant</t>
  </si>
  <si>
    <t>Fuel  Handling &amp; Storage system</t>
  </si>
  <si>
    <t>Coal Handling Plant</t>
  </si>
  <si>
    <t>MGR &amp; Marshalling Yard</t>
  </si>
  <si>
    <t xml:space="preserve">Ash Handling System </t>
  </si>
  <si>
    <t>Ash disposal area development</t>
  </si>
  <si>
    <t>Fire fighting System</t>
  </si>
  <si>
    <t>Township &amp; Colony</t>
  </si>
  <si>
    <t>Temp. construction &amp; enabling works</t>
  </si>
  <si>
    <t xml:space="preserve"> Road &amp; Drainage</t>
  </si>
  <si>
    <t>Other than BTG/BOP</t>
  </si>
  <si>
    <t xml:space="preserve">Total Civil works </t>
  </si>
  <si>
    <t>Construction &amp; Pre- Commissioning Expenses</t>
  </si>
  <si>
    <t>Erection Testing and commissioning</t>
  </si>
  <si>
    <t>Site supervision</t>
  </si>
  <si>
    <t>Operator's Training</t>
  </si>
  <si>
    <t>Construction Insurance</t>
  </si>
  <si>
    <t>Tools &amp; Plant</t>
  </si>
  <si>
    <t>Start up fuel</t>
  </si>
  <si>
    <t>Total  Construction &amp; Pre- Commissioning Expenses</t>
  </si>
  <si>
    <t>Overheads</t>
  </si>
  <si>
    <t>Establishment</t>
  </si>
  <si>
    <t>Design &amp; Engineering</t>
  </si>
  <si>
    <t>Audit &amp; Accounts</t>
  </si>
  <si>
    <t>Contingency</t>
  </si>
  <si>
    <t>Total Overheads</t>
  </si>
  <si>
    <t>Capital cost Excluding IDC &amp; FC</t>
  </si>
  <si>
    <t>Interest During Construction (IDC) Capitalised in above cost</t>
  </si>
  <si>
    <t>Financing Charges (FC)</t>
  </si>
  <si>
    <t>Capital cost including IDC &amp; FC</t>
  </si>
  <si>
    <t>Form 14.4 : Break up of Construction / Supply / Services / Package</t>
  </si>
  <si>
    <t>Name / No. of Construction / Supply / Service Package</t>
  </si>
  <si>
    <t>Scope of works (in line with head of cost break-ups as applicable)</t>
  </si>
  <si>
    <t>Whether awarded through ICB/DCB/Departmentally</t>
  </si>
  <si>
    <t>No. of bids recd.</t>
  </si>
  <si>
    <t>Date of Award</t>
  </si>
  <si>
    <t>Date of Start of Work</t>
  </si>
  <si>
    <t>Scheduled date of completion of work</t>
  </si>
  <si>
    <t>Actual date of completion of work</t>
  </si>
  <si>
    <t>Value of Award in Rs. Crore</t>
  </si>
  <si>
    <t>Firm or with Escalation in prices</t>
  </si>
  <si>
    <t>Total incl. Price Variation</t>
  </si>
  <si>
    <t>Actual expenditure till the completion or upto COD whichever is earlier (Rs. Crore)</t>
  </si>
  <si>
    <t>Form 14.5 : Financial Package</t>
  </si>
  <si>
    <t>Project Cost as on COD (Rs Crore): _______________</t>
  </si>
  <si>
    <t>Date of Commercial Operation of the Station: _________________</t>
  </si>
  <si>
    <t>Original Financial Package</t>
  </si>
  <si>
    <t>Financial Package as on COD of Unit- Name 1</t>
  </si>
  <si>
    <t>Financial Package as on COD of Unit- Name 2</t>
  </si>
  <si>
    <t>Financial Package as on COD of Unit-…</t>
  </si>
  <si>
    <t>Financial Package as on COD (Consolidated)</t>
  </si>
  <si>
    <t xml:space="preserve">Currency </t>
  </si>
  <si>
    <t>Amount in foreign currency (for foreign loans)</t>
  </si>
  <si>
    <t>Equivalent Amount in Rs Crore</t>
  </si>
  <si>
    <t>Currency</t>
  </si>
  <si>
    <t>Loan</t>
  </si>
  <si>
    <t>Total Loan</t>
  </si>
  <si>
    <t>Equity-</t>
  </si>
  <si>
    <t>Foreign</t>
  </si>
  <si>
    <t xml:space="preserve">Domestic </t>
  </si>
  <si>
    <t>Internal Accurals</t>
  </si>
  <si>
    <t>Total Equity</t>
  </si>
  <si>
    <t>Undischarged Liabilities</t>
  </si>
  <si>
    <t>Debt : Equity Ratio (Excluding Undischarged Liabilities)</t>
  </si>
  <si>
    <t>Note : Please submit copy of sanction letters/Loan Agreements for each loan</t>
  </si>
  <si>
    <t>Form 14.6 : Details of Loans</t>
  </si>
  <si>
    <t>Loan Source</t>
  </si>
  <si>
    <t>Source of Loan/Name of Agency</t>
  </si>
  <si>
    <t>Amount of Loan sanctioned (Rs. Crore)</t>
  </si>
  <si>
    <t>Amount of Gross Loan drawn upto COD (Rs. Crore)</t>
  </si>
  <si>
    <t>Interest Type1</t>
  </si>
  <si>
    <t>Fixed Interest Rate, if applicable</t>
  </si>
  <si>
    <t>Base Rate, if Floating Interest2</t>
  </si>
  <si>
    <t>Margin, if Floating Interest3</t>
  </si>
  <si>
    <t>Are there any Caps/Floor4</t>
  </si>
  <si>
    <t>If above is yes,specify caps/floor</t>
  </si>
  <si>
    <t>Moratorium Period5</t>
  </si>
  <si>
    <t>Moratorium effective from</t>
  </si>
  <si>
    <t>Repayment Period6</t>
  </si>
  <si>
    <t>Repayment effective from</t>
  </si>
  <si>
    <t>Repayment Frequency7</t>
  </si>
  <si>
    <t>Repayment Instalment8,9,10</t>
  </si>
  <si>
    <t>Base Exchange Rate15</t>
  </si>
  <si>
    <t>1 Interest type means whether the interest is fixed or floating.</t>
  </si>
  <si>
    <t>2 Base rate means the base as PLR, LIBOR etc. over which the margin is to be added. Applicable base rate on different dates from the date of drawal may also be enclosed.</t>
  </si>
  <si>
    <t>3 Margin means the points over and above the floating rate.</t>
  </si>
  <si>
    <t>4 At times caps/floor are put at which the floating rates are frozen. If such a condition exists, specify the limits.</t>
  </si>
  <si>
    <t>5 Moratorium period refers to the period during which loan repayment is not required.</t>
  </si>
  <si>
    <t>6 Repayment period means the repayment of loan such as  10 years, 15 years etc.</t>
  </si>
  <si>
    <t>7 Repayment frequency means the interval at which the debt servicing is to be done such as monthly, quarterly, half yearly, etc</t>
  </si>
  <si>
    <t>8 Where there is more than one drawal/repayment for a loan, the date &amp; amount of each drawal/repayement may also be given seperately</t>
  </si>
  <si>
    <t>9 If the repayment  instalment amount and repayment date  can not be worked out from the data furnished above, the repayment schedule to be  furnished seperately.</t>
  </si>
  <si>
    <t>10 In case of Foreign loan,date of each  drawal &amp; repayment alongwith exchange rate at that date may be given.</t>
  </si>
  <si>
    <t xml:space="preserve">11 Base exchange rate means the exchange rate prevailing as on COD </t>
  </si>
  <si>
    <t>Form 14.7: Details of Additional Capitalisation after COD</t>
  </si>
  <si>
    <t xml:space="preserve">Work/Equipment added after COD </t>
  </si>
  <si>
    <t>Amount Capitalised / Proposed to be capitalised</t>
  </si>
  <si>
    <t>Justification</t>
  </si>
  <si>
    <t xml:space="preserve">A. </t>
  </si>
  <si>
    <t>Upto Cut off Date</t>
  </si>
  <si>
    <t>After Cut off Date</t>
  </si>
  <si>
    <r>
      <rPr>
        <b/>
        <sz val="11"/>
        <rFont val="Times New Roman"/>
        <family val="1"/>
      </rPr>
      <t>Note</t>
    </r>
    <r>
      <rPr>
        <sz val="11"/>
        <rFont val="Times New Roman"/>
        <family val="1"/>
      </rPr>
      <t>: 1. Claim for additional capitalization shall be substantiated with the technical justification duly supported by documentary evidence</t>
    </r>
  </si>
  <si>
    <t xml:space="preserve">           2. Generating Company shall submit a report on impact assessment done by any reputed third-party technical expert/agency for additional capitalization necessary for efficient operation</t>
  </si>
  <si>
    <t xml:space="preserve">           3. In case of additional capitalization for Revised Emmission Standard, Generating Company shall provide for details of proposed technology as specified by CEA or other alternative technology with justification and cost benefit analysis with indicative impact on tariff of beneficiaries</t>
  </si>
  <si>
    <t>Form 14.8: Financing Additional Capitalisation</t>
  </si>
  <si>
    <t>Financial Year (Starting from COD)</t>
  </si>
  <si>
    <t>Amount capitalised</t>
  </si>
  <si>
    <t>Financing Details</t>
  </si>
  <si>
    <t>Equity</t>
  </si>
  <si>
    <t>Internal Resources</t>
  </si>
  <si>
    <t>Others (Pls provide details)</t>
  </si>
  <si>
    <t>Form 14.9: Drawdown Schedule and Computation of IDC and Financing Charges</t>
  </si>
  <si>
    <t>Sl. No.</t>
  </si>
  <si>
    <t>Financial Year</t>
  </si>
  <si>
    <t>Year 1</t>
  </si>
  <si>
    <t>Year n</t>
  </si>
  <si>
    <t>Draw Down</t>
  </si>
  <si>
    <t>Q-1</t>
  </si>
  <si>
    <t>Q-2</t>
  </si>
  <si>
    <t>Q-3</t>
  </si>
  <si>
    <t>Q-4</t>
  </si>
  <si>
    <t>Loans</t>
  </si>
  <si>
    <t xml:space="preserve">Draw down Amount </t>
  </si>
  <si>
    <t>Cumulative</t>
  </si>
  <si>
    <t>Financing charges/Guarantee Fee</t>
  </si>
  <si>
    <t>Other (pls provide details)</t>
  </si>
  <si>
    <t>……..</t>
  </si>
  <si>
    <t>Total Loans</t>
  </si>
  <si>
    <t>Equity drawn</t>
  </si>
  <si>
    <t>Domestic/Foreign</t>
  </si>
  <si>
    <t xml:space="preserve">Internal Accruals </t>
  </si>
  <si>
    <t>Total equity deployed</t>
  </si>
  <si>
    <t>Form 15:  Depreciation Schedule Assets</t>
  </si>
  <si>
    <t>2025-26</t>
  </si>
  <si>
    <t>2026-27</t>
  </si>
  <si>
    <t>2027-28</t>
  </si>
  <si>
    <t>2028-29</t>
  </si>
  <si>
    <t>2029-30</t>
  </si>
  <si>
    <t xml:space="preserve">Total Assets &amp; Depreciation </t>
  </si>
  <si>
    <t>Assets &amp; Depreciation  - Existing Schemes (CoD on or before the March 31, 2025 or Assets in-principally approved  before the notification of MERC MYT Regulations 2024)</t>
  </si>
  <si>
    <t>Form 5.1 (E)</t>
  </si>
  <si>
    <t>Assets &amp; Depreciation - New Schemes  (not covered under Existing Assets)</t>
  </si>
  <si>
    <t>Form 5.2 (N)</t>
  </si>
  <si>
    <t>Capital Cost Approval*</t>
  </si>
  <si>
    <t>Project Schedule</t>
  </si>
  <si>
    <t>Form 14.1</t>
  </si>
  <si>
    <t>Abstract of Capital Cost</t>
  </si>
  <si>
    <t>Form 14.2</t>
  </si>
  <si>
    <t>Breakup of Capital Cost</t>
  </si>
  <si>
    <t>Form 14.3</t>
  </si>
  <si>
    <t>Breakup of Construction/Supply/Services/Packages</t>
  </si>
  <si>
    <t>Form 14.4</t>
  </si>
  <si>
    <t>Financial Package</t>
  </si>
  <si>
    <t>Form 14.5</t>
  </si>
  <si>
    <t>Details of Loans</t>
  </si>
  <si>
    <t>Form 14.6</t>
  </si>
  <si>
    <t>Details of Additional Capitalisation after COD</t>
  </si>
  <si>
    <t>Form 14.7</t>
  </si>
  <si>
    <t>Financing of Additional Capitalisation</t>
  </si>
  <si>
    <t>Form 14.8</t>
  </si>
  <si>
    <t>Drawdown Schedule and Computation of IDC and Financing Charges</t>
  </si>
  <si>
    <t>Form 14.9</t>
  </si>
  <si>
    <t>Depreciation Schedule before 31 March 2025</t>
  </si>
  <si>
    <t>Form 15.1</t>
  </si>
  <si>
    <t>Depreciation Schedule after 1 April 2025</t>
  </si>
  <si>
    <t>Form 15.2</t>
  </si>
  <si>
    <t>Form 17</t>
  </si>
  <si>
    <t>Special Allowance</t>
  </si>
  <si>
    <t>Form 18</t>
  </si>
  <si>
    <t>Incentive</t>
  </si>
  <si>
    <t>Form 19</t>
  </si>
  <si>
    <r>
      <rPr>
        <b/>
        <sz val="10"/>
        <rFont val="Times New Roman"/>
        <family val="1"/>
      </rPr>
      <t>Note</t>
    </r>
    <r>
      <rPr>
        <sz val="10"/>
        <rFont val="Times New Roman"/>
        <family val="1"/>
      </rPr>
      <t>: * Applicable only for new Generation Project for which Provisional/Final tariff approval is being sought</t>
    </r>
  </si>
  <si>
    <t xml:space="preserve">Form 5= Form 5.1 (E) + Form 5.1 (N) : Total Assets &amp; Depreciation for assets </t>
  </si>
  <si>
    <t>Mean Time Between Failure (MTBF)**</t>
  </si>
  <si>
    <t>Days</t>
  </si>
  <si>
    <t>Operating under FGMO or RGMO**</t>
  </si>
  <si>
    <t>Admin building Rent (Treatment is different as per IND AS)</t>
  </si>
  <si>
    <t xml:space="preserve">(c) </t>
  </si>
  <si>
    <t xml:space="preserve">(e) </t>
  </si>
  <si>
    <t>5-Year Average</t>
  </si>
  <si>
    <t>(f) =               [(a)+(b)+(c)+(d)+(e)]/5</t>
  </si>
  <si>
    <t>FY 23</t>
  </si>
  <si>
    <t>Normative#</t>
  </si>
  <si>
    <t>Normative</t>
  </si>
  <si>
    <t>Trued up O&amp;M expense*</t>
  </si>
  <si>
    <t xml:space="preserve">*Trued-up O&amp;M expenses excluding water charges and including insurance and after adding/deducting share of efficiency gains/losses shall be considered </t>
  </si>
  <si>
    <t># Normative O&amp;M expenses for FY 2024-25 to be computed by escalating thrice with an escalation rate of 50% weightage of WPI of the respective past five financial years and 50% weightage of CPI of the respective past five financial years</t>
  </si>
  <si>
    <t>$ Normative O&amp;M expenses for each Year of the Control Period to be computed by escalating (e) by WPI (50%) &amp; CPI (50%) of respective past five financial years, reduced by efficiency factor of 1%</t>
  </si>
  <si>
    <t>$$ In case Projected O&amp;M expenses for Control Period are different from Normative O&amp;M expenses, then detailed justification should be provided</t>
  </si>
  <si>
    <t>Ensuing Period</t>
  </si>
  <si>
    <t>O&amp;M Charges - ECS</t>
  </si>
  <si>
    <t>O&amp;M Expenses towards Emission Control System (ECS)</t>
  </si>
  <si>
    <t>Capitalisation towards FGD (excl. IDC)</t>
  </si>
  <si>
    <t>Capitalisation towards SCR (excl. IDC)</t>
  </si>
  <si>
    <t>Interest on Working capital - towards Emission Control System</t>
  </si>
  <si>
    <t>Cost of limestone/reagent towards stock - 20 days</t>
  </si>
  <si>
    <t>Advance payment for 30 days towards cost of reagent - 30 days</t>
  </si>
  <si>
    <t>Normative O&amp;M expense in respect of Emission Control system for one month</t>
  </si>
  <si>
    <t>Total Working Capital Requirement - ECS</t>
  </si>
  <si>
    <t>Rate of IoWC</t>
  </si>
  <si>
    <t>Interest on Working Capital - ECS</t>
  </si>
  <si>
    <t>Maintenance Spares  (% of capitalisation)</t>
  </si>
  <si>
    <t>Total Cummulative  capitalisation towards ECS (excl. IDC)</t>
  </si>
  <si>
    <t>[K x SHR x S/CVPF] x [85/LP]</t>
  </si>
  <si>
    <t>SHR (kCal/kWh)</t>
  </si>
  <si>
    <t>GCV (kCal/kg)</t>
  </si>
  <si>
    <t>CVPF (kCal/kg)</t>
  </si>
  <si>
    <t>S (%)</t>
  </si>
  <si>
    <t>LP (%)</t>
  </si>
  <si>
    <t>SO2 Emission norm 
(100/200 mg/Nm3; 600 mg/Nm3)</t>
  </si>
  <si>
    <t>% as per SO2 Emission norm</t>
  </si>
  <si>
    <t>Multiplication Factor</t>
  </si>
  <si>
    <t>Design SO2 removal efficiency</t>
  </si>
  <si>
    <t>K</t>
  </si>
  <si>
    <t>Sp. Limestone consumption (g/kWh)</t>
  </si>
  <si>
    <t>Reagent Cost and Requirement</t>
  </si>
  <si>
    <t>Gross Generation (MU)</t>
  </si>
  <si>
    <t>Reagent</t>
  </si>
  <si>
    <t>Total Reagent Req. (T)</t>
  </si>
  <si>
    <t>Reagent Cost per Ton</t>
  </si>
  <si>
    <t>Total Reagent Cost (Rs.Cr)</t>
  </si>
  <si>
    <t>Ammonia Consumption and Cost of SCR system</t>
  </si>
  <si>
    <t>Sp. Ammonia Req. (g/kWh)</t>
  </si>
  <si>
    <t>Total Ammonia Req. (T)</t>
  </si>
  <si>
    <t>Ammonia Cost per Ton</t>
  </si>
  <si>
    <t>Total Ammonia Cost (Rs.Cr)</t>
  </si>
  <si>
    <t>Total Variable Cost - ECS</t>
  </si>
  <si>
    <t>FY 25-26</t>
  </si>
  <si>
    <t>FY 26-27</t>
  </si>
  <si>
    <t>FY 27-28</t>
  </si>
  <si>
    <t>FY 28-29</t>
  </si>
  <si>
    <t>FY 29-30</t>
  </si>
  <si>
    <t>Fuel Related Expenses - ECS</t>
  </si>
  <si>
    <t>Fuel 4 - GP II</t>
  </si>
  <si>
    <t>2.1.9</t>
  </si>
  <si>
    <t>2.5.8</t>
  </si>
  <si>
    <t>2.5.9</t>
  </si>
  <si>
    <t>3.1.8</t>
  </si>
  <si>
    <t>3.1.9</t>
  </si>
  <si>
    <t>3.2.8</t>
  </si>
  <si>
    <t>3.2.9</t>
  </si>
  <si>
    <t>3.3.8</t>
  </si>
  <si>
    <t>3.3.9</t>
  </si>
  <si>
    <t>4.1.8</t>
  </si>
  <si>
    <t>4.1.9</t>
  </si>
  <si>
    <t>Fuel 5 - Biomass Pellets</t>
  </si>
  <si>
    <t>Coal - GP II</t>
  </si>
  <si>
    <t>Total GP II Coal</t>
  </si>
  <si>
    <t>Biomass Pellet</t>
  </si>
  <si>
    <t>Total Biomass Pellet</t>
  </si>
  <si>
    <t xml:space="preserve">  PFC (Allocation of Generic Loans) (All TPS)</t>
  </si>
  <si>
    <t>PFC - BLC General Capex (Allocation of Generic loans) (All TPS)</t>
  </si>
  <si>
    <t>REC</t>
  </si>
  <si>
    <t>REC MTL</t>
  </si>
  <si>
    <t>South Indian Bank</t>
  </si>
  <si>
    <t xml:space="preserve">Inst 6 - (Indian Bank-7 &amp; BoM-1) </t>
  </si>
  <si>
    <t>Inst 7 -  (Indian Bank-7 &amp; BoM-1)</t>
  </si>
  <si>
    <t>Inst 8 - Addln Capex</t>
  </si>
  <si>
    <t>PFC</t>
  </si>
  <si>
    <t>PFC BLC General Capex</t>
  </si>
  <si>
    <t>Inst 14 -South Indian Bank</t>
  </si>
  <si>
    <t>Hudco</t>
  </si>
  <si>
    <t>Inst 9 - Addln Capex (STL Capex)</t>
  </si>
  <si>
    <t>Inst 12 - World Bank</t>
  </si>
  <si>
    <t>Inst 13 - SBI</t>
  </si>
  <si>
    <t>Ash disposal expenses</t>
  </si>
  <si>
    <t>Interest on Loan Capital - HO Assets</t>
  </si>
  <si>
    <t>Add: Return on Equity Capital - HO Assets</t>
  </si>
  <si>
    <t>Calorific Value (As Fired) imported coal</t>
  </si>
  <si>
    <t>MSEDCL - H1</t>
  </si>
  <si>
    <t>MSEDCL - H2</t>
  </si>
  <si>
    <t xml:space="preserve">(c ) </t>
  </si>
  <si>
    <t>(d) = (c)-(b)</t>
  </si>
  <si>
    <t xml:space="preserve">(f ) </t>
  </si>
  <si>
    <t>(h) = (g)- (f)</t>
  </si>
  <si>
    <t xml:space="preserve">(k) </t>
  </si>
  <si>
    <t>(c )</t>
  </si>
  <si>
    <t>(d) = (c) - (b)</t>
  </si>
  <si>
    <t>(h) = (g) - (f)</t>
  </si>
  <si>
    <t>Projection</t>
  </si>
  <si>
    <r>
      <rPr>
        <b/>
        <sz val="11"/>
        <rFont val="Times New Roman"/>
        <family val="1"/>
      </rPr>
      <t>Note</t>
    </r>
    <r>
      <rPr>
        <sz val="11"/>
        <rFont val="Times New Roman"/>
        <family val="1"/>
      </rPr>
      <t>: * - In case MTR Order is yet to be issued, then MYT Order values to be captured under this column</t>
    </r>
  </si>
  <si>
    <t>MTR Order*</t>
  </si>
  <si>
    <t>Calorific Value (As Fired) Raw+Washed</t>
  </si>
  <si>
    <t>Actual stacking loss (wt. average)</t>
  </si>
  <si>
    <t xml:space="preserve">* As approved in MTR Order; in case MTR Order is not issued, then MYT Order values to be considered </t>
  </si>
  <si>
    <t xml:space="preserve">To be submitted separately for each Unit/Station for which Tariff is to be determined separately </t>
  </si>
  <si>
    <t xml:space="preserve">Operational data is to be submitted for each Unit of each station separately </t>
  </si>
  <si>
    <t>Note ** - Generation Company shall submit the certificate of the MSLDC at a time of true up.</t>
  </si>
  <si>
    <r>
      <rPr>
        <b/>
        <sz val="12"/>
        <rFont val="Times New Roman"/>
        <family val="1"/>
      </rPr>
      <t>Note</t>
    </r>
    <r>
      <rPr>
        <sz val="12"/>
        <rFont val="Times New Roman"/>
        <family val="1"/>
      </rPr>
      <t>: * - In case MTR Order is yet to be issued, then MYT Order values to be captured under this column</t>
    </r>
  </si>
  <si>
    <t>* - In case MTR Order is yet to be issued, then MYT Order values to be captured under this column</t>
  </si>
  <si>
    <t>Note</t>
  </si>
  <si>
    <t>Details to be submitted for each primary and secondary fuel separately</t>
  </si>
  <si>
    <t>The energy charge should be computed for open cycle operation and combined cycle operation separately in case of gas/liquid fuel fired plants.</t>
  </si>
  <si>
    <t xml:space="preserve">Operational data are to be submitted for each Unit of each station separately </t>
  </si>
  <si>
    <t xml:space="preserve"> * - In case MTR Order is yet to be issued, then MYT Order values to be captured under this column</t>
  </si>
  <si>
    <t>Actual Capex till FY 2021-22</t>
  </si>
  <si>
    <t>Actual Capitalization till FY 2021-22</t>
  </si>
  <si>
    <t>MERC/CAPEX/20122013/00179</t>
  </si>
  <si>
    <t>• Reduction in Boiler Tube leakages.
• Increasing loadability of unit.
• Reduction in DM Water consumption.
• Improvement in performance of unit.
• Improvement in Boiler efficiency.</t>
  </si>
  <si>
    <t>• Reduction in Boiler Tube leakages.
• Increasing availability of units.
• Improving reliability of unit.
• Reduction in DM Water consumption.
• Improvement in performance of unit.</t>
  </si>
  <si>
    <t>MERC/TECH 1/CAPEX/20122013/02325</t>
  </si>
  <si>
    <t>• Reduction in Boiler Tube leakages.
• Increasing loadability of unit.
• Reduction in DM Water consumption.</t>
  </si>
  <si>
    <t>• Improving reliability of unit.
• Reduction in DM Water consumption.
• Reduction in Boiler Tube leakages.
• Improvement in performance of unit.</t>
  </si>
  <si>
    <t>MERC/CAPEX/20122013/00912</t>
  </si>
  <si>
    <t>• Reduction in boiler tube leakage area at least by 1 per year
• Reduction in maintenance costs.
• Increases in availability ad loadability and long term 
  availability of the Unit.
• Increase in MTBF 
•  Reduction in Heat Loss in frequent start ups due to BTL.</t>
  </si>
  <si>
    <t xml:space="preserve">• Reduction in boiler tube leakage area at least by 1 per year
• Increase in MTBF 
• Reduction in Heat Loss in frequent start ups due to BTL 
• Increases in  loadability and long term availability of the Unit.
• Reduction in maintenance costs.
</t>
  </si>
  <si>
    <t>• Reduction in boiler tube leakage area at least by 1 per year
• Increase in MTBF 
• Reduction in Heat Loss in frequent start ups due to BTL 
• Increases in loadability and long term availability of the Unit.
• Reduction in maintenance costs</t>
  </si>
  <si>
    <t xml:space="preserve">• Asset investment including Spares inventory protected. 
• Improved System Operation &amp; Monitoring Functions.
• Significant avoidance of ‘Generation Loss’; Proposed 
  Upgrades can be implemented in short planned 
  shutdown </t>
  </si>
  <si>
    <t>•Approval for Amendment PO ( Disp  
 No.05342; Date:03-06-2024.
•Material awaited</t>
  </si>
  <si>
    <t>• 100% availability of Battery Sets
• The overall reliability of power plant will increase.
• New battery set will help to enhance the life of system.</t>
  </si>
  <si>
    <t>Order dispatched vide PO. No. 4370002528/0144 dtd.11-03-2021. Capitalization done in FY-2021-22 of Rs.1.72 Cr.</t>
  </si>
  <si>
    <t>• Improvement in availability of auxiliaries due to reduced problems of breakers.
• Reduced down time for the auxiliaries.
• Easy handling of breakers and therefore ease of operation. 
• Reduced incidents of flashovers and increased safety to operating personnel.</t>
  </si>
  <si>
    <t>HO
DPR 5.1</t>
  </si>
  <si>
    <t>HO
DPR 6.1</t>
  </si>
  <si>
    <t>HO
DPR 7.1</t>
  </si>
  <si>
    <t>HO
DPR 13</t>
  </si>
  <si>
    <t>Construction of new Administrative Building for Mahagenco at Vidyut Bhawan, Katol Road, Nagpur</t>
  </si>
  <si>
    <t>MERC/CAPEX/2021-2022/MSPGCL/063</t>
  </si>
  <si>
    <t>HO
DPR 13.1</t>
  </si>
  <si>
    <t>HO
DPR 16</t>
  </si>
  <si>
    <t>Centralized Monitoring Solution</t>
  </si>
  <si>
    <t>MERC/CAPEX/MSPGCL/2023-24/0576</t>
  </si>
  <si>
    <t>HO
DPR 16.1</t>
  </si>
  <si>
    <t>(ii) Submitted to MERC but yet to be approved</t>
  </si>
  <si>
    <t>R&amp;M/LE for Identified Thermal units of MSPGCL  of BTPS U-3 (210 MW)</t>
  </si>
  <si>
    <t>General Assets</t>
  </si>
  <si>
    <t>Furniture &amp; Fixture</t>
  </si>
  <si>
    <t xml:space="preserve">Air Purifier - 13-04-2022
</t>
  </si>
  <si>
    <t xml:space="preserve">Office Equipment </t>
  </si>
  <si>
    <t>Multifunction Laser Printer - 21-06-2022
Computer System foe 1A Wagon Tippler - 31-05-2022
Thinclient - 20-12-2022</t>
  </si>
  <si>
    <t xml:space="preserve">Exe Chairs and Office Chairs - 08-11-2023
FANS - 30-06-2023
Mid Back Chairs - 14-06-2023
Office Chairs - 01-01-2024
2T Split AC - 30-03-2024
</t>
  </si>
  <si>
    <t>Laser All in One Printer - 26-05-2023</t>
  </si>
  <si>
    <t>Additional Compensation out of Court Dispute with Land Holder Tryamba Zambre</t>
  </si>
  <si>
    <t>Allowable Capitalisation</t>
  </si>
  <si>
    <t>Probable Disallowance</t>
  </si>
  <si>
    <t>Form 12 A: Income Tax Rate for Truing-up Years for Fifth Control Period</t>
  </si>
  <si>
    <t>FY 2024-25*</t>
  </si>
  <si>
    <t>Income Tax Rate of the Company (%) $</t>
  </si>
  <si>
    <r>
      <rPr>
        <b/>
        <sz val="11"/>
        <rFont val="Times New Roman"/>
        <family val="1"/>
      </rPr>
      <t>Note</t>
    </r>
    <r>
      <rPr>
        <sz val="11"/>
        <rFont val="Times New Roman"/>
        <family val="1"/>
      </rPr>
      <t>: # Actual tax paid on income from any other regulated or unregulated Business or Other Business shall be excluded for the calculation of Income Tax rate. Income tax paid on incentive, efficiency gains, Delayed Payment Charges, Interest on Delayed Payment, Income from Other Business, Income from any other source not considered in ARR is to be excluded from actual Income Tax paid, and shown separately</t>
    </r>
  </si>
  <si>
    <t xml:space="preserve">$ In case Entity is paying Minimum Alternate Tax (MAT), the Income Tax rate shall be considered as MAT rate including surcharge and cess </t>
  </si>
  <si>
    <t xml:space="preserve">* The lastest available approved income tax rate shall be considered. </t>
  </si>
  <si>
    <t>Form 12 (B):  Computation of Income Tax Rate for Fifth Control Period</t>
  </si>
  <si>
    <t>Income Tax Rate of the Company (%) *</t>
  </si>
  <si>
    <t>Rate of Return on Equity (%)</t>
  </si>
  <si>
    <t>c = b /(1-a)</t>
  </si>
  <si>
    <r>
      <rPr>
        <b/>
        <sz val="11"/>
        <color rgb="FF000000"/>
        <rFont val="Times New Roman"/>
        <family val="1"/>
      </rPr>
      <t>Note</t>
    </r>
    <r>
      <rPr>
        <sz val="11"/>
        <color rgb="FF000000"/>
        <rFont val="Times New Roman"/>
        <family val="1"/>
      </rPr>
      <t xml:space="preserve">: </t>
    </r>
  </si>
  <si>
    <t xml:space="preserve">*The lastest available approved income tax rate shall be considered. </t>
  </si>
  <si>
    <t>Working of Reagent Cost</t>
  </si>
  <si>
    <t>MSPGCL: Bhusawal U # 3</t>
  </si>
  <si>
    <t>MTR Petition Formats - Generation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</si>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</sst>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 #,##0.00_ ;_ * \-#,##0.00_ ;_ * &quot;-&quot;??_ ;_ @_ "/>
    <numFmt numFmtId="164" formatCode="_(* #,##0.00_);_(* \(#,##0.00\);_(* &quot;-&quot;??_);_(@_)"/>
    <numFmt numFmtId="165" formatCode="_-* #,##0.00_-;\-* #,##0.00_-;_-* &quot;-&quot;??_-;_-@_-"/>
    <numFmt numFmtId="166" formatCode="0.00_)"/>
    <numFmt numFmtId="167" formatCode="&quot;ß&quot;#,##0.00_);\(&quot;ß&quot;#,##0.00\)"/>
    <numFmt numFmtId="168" formatCode="0.0"/>
    <numFmt numFmtId="169" formatCode="_(* #,##0_);_(* \(#,##0\);_(* &quot;-&quot;??_);_(@_)"/>
    <numFmt numFmtId="170" formatCode="_-* #,##0_-;\-* #,##0_-;_-* &quot;-&quot;??_-;_-@_-"/>
    <numFmt numFmtId="171" formatCode="_ * #,##0_ ;_ * \-#,##0_ ;_ * &quot;-&quot;??_ ;_ @_ "/>
    <numFmt numFmtId="172" formatCode="0\ &quot;Days&quot;"/>
    <numFmt numFmtId="173" formatCode="0\ &quot;Month&quot;"/>
    <numFmt numFmtId="174" formatCode="0.000"/>
    <numFmt numFmtId="175" formatCode="_ * #,##0.0_ ;_ * \-#,##0.0_ ;_ * &quot;-&quot;??_ ;_ @_ "/>
    <numFmt numFmtId="176" formatCode="_ * #,##0.000_ ;_ * \-#,##0.000_ ;_ * &quot;-&quot;??_ ;_ @_ "/>
    <numFmt numFmtId="177" formatCode="_(* #,##0.000_);_(* \(#,##0.000\);_(* &quot;-&quot;??_);_(@_)"/>
    <numFmt numFmtId="178" formatCode="_(* #,##0.00000_);_(* \(#,##0.00000\);_(* &quot;-&quot;??_);_(@_)"/>
    <numFmt numFmtId="179" formatCode="[$-14009]dd\-mm\-yyyy;@"/>
    <numFmt numFmtId="180" formatCode="0.000%"/>
    <numFmt numFmtId="181" formatCode="0.0%"/>
    <numFmt numFmtId="182" formatCode="_ * #,##0.000_ ;_ * \-#,##0.000_ ;_ * &quot;-&quot;???_ ;_ @_ "/>
    <numFmt numFmtId="183" formatCode="_(* #,##0.0_);_(* \(#,##0.0\);_(* &quot;-&quot;??_);_(@_)"/>
    <numFmt numFmtId="184" formatCode="0.00000"/>
    <numFmt numFmtId="185" formatCode="0.0000"/>
    <numFmt numFmtId="186" formatCode="0.000000000000000%"/>
    <numFmt numFmtId="187" formatCode="[$-14009]dd/mm/yy;@"/>
  </numFmts>
  <fonts count="8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0"/>
      <name val="Times New Roman"/>
      <family val="1"/>
    </font>
    <font>
      <b/>
      <sz val="10"/>
      <name val="Times New Roman"/>
      <family val="1"/>
    </font>
    <font>
      <b/>
      <sz val="11"/>
      <color indexed="8"/>
      <name val="Times New Roman"/>
      <family val="1"/>
    </font>
    <font>
      <b/>
      <sz val="12"/>
      <name val="Times New Roman"/>
      <family val="1"/>
    </font>
    <font>
      <b/>
      <sz val="14"/>
      <name val="Times New Roman"/>
      <family val="1"/>
    </font>
    <font>
      <b/>
      <sz val="10"/>
      <color indexed="9"/>
      <name val="Times New Roman"/>
      <family val="1"/>
    </font>
    <font>
      <sz val="12"/>
      <name val="Arial"/>
      <family val="2"/>
    </font>
    <font>
      <sz val="12"/>
      <name val="Times New Roman"/>
      <family val="1"/>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u/>
      <sz val="11"/>
      <name val="Times New Roman"/>
      <family val="1"/>
    </font>
    <font>
      <vertAlign val="superscript"/>
      <sz val="11"/>
      <name val="Times New Roman"/>
      <family val="1"/>
    </font>
    <font>
      <sz val="11"/>
      <name val="Arial"/>
      <family val="2"/>
    </font>
    <font>
      <sz val="11"/>
      <color indexed="8"/>
      <name val="Times New Roman"/>
      <family val="1"/>
    </font>
    <font>
      <b/>
      <sz val="11"/>
      <color indexed="9"/>
      <name val="Times New Roman"/>
      <family val="1"/>
    </font>
    <font>
      <sz val="11"/>
      <color theme="1"/>
      <name val="Calibri"/>
      <family val="2"/>
      <scheme val="minor"/>
    </font>
    <font>
      <b/>
      <sz val="11"/>
      <color theme="1"/>
      <name val="Times New Roman"/>
      <family val="1"/>
    </font>
    <font>
      <sz val="11"/>
      <color theme="1"/>
      <name val="Times New Roman"/>
      <family val="1"/>
    </font>
    <font>
      <sz val="11"/>
      <color indexed="8"/>
      <name val="Calibri"/>
      <family val="2"/>
    </font>
    <font>
      <sz val="11"/>
      <color theme="1"/>
      <name val="Calibri"/>
      <family val="2"/>
    </font>
    <font>
      <vertAlign val="superscript"/>
      <sz val="11"/>
      <color theme="1"/>
      <name val="Times New Roman"/>
      <family val="1"/>
    </font>
    <font>
      <sz val="12"/>
      <color theme="1"/>
      <name val="Book Antiqua"/>
      <family val="1"/>
    </font>
    <font>
      <sz val="10"/>
      <name val="Arial"/>
      <family val="2"/>
    </font>
    <font>
      <sz val="10"/>
      <color theme="1"/>
      <name val="Arial"/>
      <family val="2"/>
    </font>
    <font>
      <b/>
      <sz val="11"/>
      <name val="Arial"/>
      <family val="2"/>
    </font>
    <font>
      <b/>
      <sz val="10"/>
      <color theme="1"/>
      <name val="Arial"/>
      <family val="2"/>
    </font>
    <font>
      <b/>
      <u/>
      <sz val="11"/>
      <name val="Times New Roman"/>
      <family val="1"/>
    </font>
    <font>
      <b/>
      <sz val="12"/>
      <color theme="1"/>
      <name val="Arial"/>
      <family val="2"/>
    </font>
    <font>
      <sz val="10"/>
      <name val="Arial"/>
      <family val="2"/>
    </font>
    <font>
      <sz val="14"/>
      <name val="Arial"/>
      <family val="2"/>
    </font>
    <font>
      <sz val="9"/>
      <color indexed="81"/>
      <name val="Tahoma"/>
      <family val="2"/>
    </font>
    <font>
      <b/>
      <sz val="9"/>
      <color indexed="81"/>
      <name val="Tahoma"/>
      <family val="2"/>
    </font>
    <font>
      <sz val="11"/>
      <color rgb="FFFF0000"/>
      <name val="Times New Roman"/>
      <family val="1"/>
    </font>
    <font>
      <b/>
      <sz val="12"/>
      <color indexed="8"/>
      <name val="Times New Roman"/>
      <family val="1"/>
    </font>
    <font>
      <b/>
      <sz val="10"/>
      <name val="Arial"/>
      <family val="2"/>
    </font>
    <font>
      <sz val="12"/>
      <color indexed="8"/>
      <name val="Times New Roman"/>
      <family val="1"/>
    </font>
    <font>
      <sz val="12"/>
      <color theme="1"/>
      <name val="Times New Roman"/>
      <family val="1"/>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2"/>
      <name val="Calibri"/>
      <family val="2"/>
    </font>
    <font>
      <b/>
      <sz val="11"/>
      <name val="Calibri"/>
      <family val="2"/>
      <scheme val="minor"/>
    </font>
    <font>
      <sz val="11"/>
      <name val="Calibri"/>
      <family val="2"/>
      <scheme val="minor"/>
    </font>
    <font>
      <i/>
      <sz val="11"/>
      <name val="Times New Roman"/>
      <family val="1"/>
    </font>
    <font>
      <b/>
      <u/>
      <sz val="10"/>
      <name val="Calibri"/>
      <family val="2"/>
      <scheme val="minor"/>
    </font>
    <font>
      <b/>
      <u/>
      <sz val="10"/>
      <color theme="1"/>
      <name val="Calibri"/>
      <family val="2"/>
      <scheme val="minor"/>
    </font>
    <font>
      <b/>
      <sz val="12"/>
      <color theme="1"/>
      <name val="Times New Roman"/>
      <family val="1"/>
    </font>
    <font>
      <b/>
      <sz val="11"/>
      <color theme="1"/>
      <name val="Calibri"/>
      <family val="2"/>
      <scheme val="minor"/>
    </font>
    <font>
      <b/>
      <vertAlign val="superscript"/>
      <sz val="11"/>
      <color theme="1"/>
      <name val="Times New Roman"/>
      <family val="1"/>
    </font>
    <font>
      <vertAlign val="superscript"/>
      <sz val="12"/>
      <name val="Times New Roman"/>
      <family val="1"/>
    </font>
    <font>
      <b/>
      <sz val="12"/>
      <color theme="1"/>
      <name val="Cambria"/>
      <family val="2"/>
      <scheme val="major"/>
    </font>
    <font>
      <sz val="12"/>
      <color theme="1"/>
      <name val="Cambria"/>
      <family val="2"/>
      <scheme val="major"/>
    </font>
    <font>
      <sz val="11"/>
      <color indexed="13"/>
      <name val="Times New Roman"/>
      <family val="1"/>
    </font>
    <font>
      <b/>
      <u/>
      <sz val="11"/>
      <color rgb="FFFF0000"/>
      <name val="Times New Roman"/>
      <family val="1"/>
    </font>
    <font>
      <b/>
      <sz val="12"/>
      <color indexed="36"/>
      <name val="Calibri"/>
      <family val="2"/>
    </font>
    <font>
      <sz val="12"/>
      <color indexed="8"/>
      <name val="Calibri"/>
      <family val="2"/>
    </font>
    <font>
      <b/>
      <sz val="12"/>
      <color rgb="FF00B0F0"/>
      <name val="Calibri"/>
      <family val="2"/>
    </font>
    <font>
      <b/>
      <u val="singleAccounting"/>
      <sz val="11"/>
      <name val="Times New Roman"/>
      <family val="1"/>
    </font>
    <font>
      <u val="singleAccounting"/>
      <sz val="11"/>
      <name val="Times New Roman"/>
      <family val="1"/>
    </font>
    <font>
      <b/>
      <sz val="11"/>
      <name val="Book Antiqua"/>
      <family val="1"/>
    </font>
    <font>
      <b/>
      <u val="singleAccounting"/>
      <sz val="12"/>
      <color indexed="36"/>
      <name val="Calibri"/>
      <family val="2"/>
    </font>
    <font>
      <b/>
      <sz val="12"/>
      <color rgb="FF800080"/>
      <name val="Calibri"/>
      <family val="2"/>
    </font>
    <font>
      <b/>
      <sz val="14"/>
      <name val="Book Antiqua"/>
      <family val="1"/>
    </font>
    <font>
      <sz val="11"/>
      <name val="Book Antiqua"/>
      <family val="1"/>
    </font>
    <font>
      <b/>
      <sz val="13"/>
      <color indexed="36"/>
      <name val="Book Antiqua"/>
      <family val="1"/>
    </font>
    <font>
      <b/>
      <sz val="12"/>
      <color indexed="36"/>
      <name val="Book Antiqua"/>
      <family val="1"/>
    </font>
    <font>
      <sz val="12"/>
      <color indexed="8"/>
      <name val="Book Antiqua"/>
      <family val="1"/>
    </font>
    <font>
      <b/>
      <u val="singleAccounting"/>
      <sz val="12"/>
      <name val="Times New Roman"/>
      <family val="1"/>
    </font>
    <font>
      <b/>
      <u/>
      <sz val="11"/>
      <color theme="1"/>
      <name val="Times New Roman"/>
      <family val="1"/>
    </font>
    <font>
      <sz val="11"/>
      <color rgb="FF000000"/>
      <name val="Times New Roman"/>
      <family val="1"/>
    </font>
    <font>
      <b/>
      <sz val="11"/>
      <color rgb="FF000000"/>
      <name val="Times New Roman"/>
      <family val="1"/>
    </font>
    <font>
      <b/>
      <u/>
      <sz val="12"/>
      <name val="Times New Roman"/>
      <family val="1"/>
    </font>
    <font>
      <sz val="12"/>
      <color rgb="FF000000"/>
      <name val="Calibri"/>
      <family val="2"/>
    </font>
    <font>
      <sz val="11"/>
      <name val="Calibri"/>
      <family val="2"/>
    </font>
  </fonts>
  <fills count="2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FBCBA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A6A6A6"/>
        <bgColor rgb="FF000000"/>
      </patternFill>
    </fill>
    <fill>
      <patternFill patternType="solid">
        <fgColor rgb="FFFFFF00"/>
        <bgColor rgb="FF000000"/>
      </patternFill>
    </fill>
    <fill>
      <patternFill patternType="solid">
        <fgColor rgb="FF8DB4E2"/>
        <bgColor rgb="FF000000"/>
      </patternFill>
    </fill>
    <fill>
      <patternFill patternType="solid">
        <fgColor rgb="FFFFFFFF"/>
        <bgColor rgb="FF000000"/>
      </patternFill>
    </fill>
  </fills>
  <borders count="31">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88">
    <xf numFmtId="0" fontId="0" fillId="0" borderId="0"/>
    <xf numFmtId="0" fontId="18" fillId="0" borderId="0" applyNumberFormat="0" applyFill="0" applyBorder="0" applyAlignment="0" applyProtection="0"/>
    <xf numFmtId="0" fontId="19" fillId="0" borderId="1"/>
    <xf numFmtId="0" fontId="19" fillId="0" borderId="1"/>
    <xf numFmtId="38" fontId="20" fillId="2" borderId="0" applyNumberFormat="0" applyBorder="0" applyAlignment="0" applyProtection="0"/>
    <xf numFmtId="0" fontId="21" fillId="0" borderId="2" applyNumberFormat="0" applyAlignment="0" applyProtection="0">
      <alignment horizontal="left" vertical="center"/>
    </xf>
    <xf numFmtId="0" fontId="21" fillId="0" borderId="3">
      <alignment horizontal="left" vertical="center"/>
    </xf>
    <xf numFmtId="10" fontId="20" fillId="3" borderId="4" applyNumberFormat="0" applyBorder="0" applyAlignment="0" applyProtection="0"/>
    <xf numFmtId="37" fontId="22" fillId="0" borderId="0"/>
    <xf numFmtId="166" fontId="23" fillId="0" borderId="0"/>
    <xf numFmtId="0" fontId="17" fillId="0" borderId="0"/>
    <xf numFmtId="0" fontId="17" fillId="0" borderId="0"/>
    <xf numFmtId="0" fontId="9" fillId="0" borderId="0"/>
    <xf numFmtId="0" fontId="9" fillId="0" borderId="0"/>
    <xf numFmtId="0" fontId="17" fillId="0" borderId="0">
      <alignment vertical="center"/>
    </xf>
    <xf numFmtId="0" fontId="17" fillId="0" borderId="0">
      <alignment vertical="center"/>
    </xf>
    <xf numFmtId="167" fontId="17" fillId="0" borderId="0" applyFont="0" applyFill="0" applyBorder="0" applyAlignment="0" applyProtection="0"/>
    <xf numFmtId="10" fontId="17" fillId="0" borderId="0" applyFont="0" applyFill="0" applyBorder="0" applyAlignment="0" applyProtection="0"/>
    <xf numFmtId="0" fontId="17" fillId="0" borderId="0"/>
    <xf numFmtId="0" fontId="29" fillId="0" borderId="0"/>
    <xf numFmtId="164" fontId="29" fillId="0" borderId="0" applyFont="0" applyFill="0" applyBorder="0" applyAlignment="0" applyProtection="0"/>
    <xf numFmtId="9" fontId="29" fillId="0" borderId="0" applyFont="0" applyFill="0" applyBorder="0" applyAlignment="0" applyProtection="0"/>
    <xf numFmtId="165" fontId="32" fillId="0" borderId="0" applyFont="0" applyFill="0" applyBorder="0" applyAlignment="0" applyProtection="0"/>
    <xf numFmtId="0" fontId="33" fillId="0" borderId="0"/>
    <xf numFmtId="9"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29" fillId="0" borderId="0"/>
    <xf numFmtId="0" fontId="32" fillId="0" borderId="0"/>
    <xf numFmtId="0" fontId="32" fillId="0" borderId="0"/>
    <xf numFmtId="0" fontId="29"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7" fillId="0" borderId="0" applyFont="0" applyFill="0" applyBorder="0" applyAlignment="0" applyProtection="0"/>
    <xf numFmtId="9" fontId="32" fillId="0" borderId="0" applyFont="0" applyFill="0" applyBorder="0" applyAlignment="0" applyProtection="0"/>
    <xf numFmtId="164"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9" fillId="0" borderId="0"/>
    <xf numFmtId="0" fontId="17" fillId="0" borderId="0" applyBorder="0" applyProtection="0"/>
    <xf numFmtId="167" fontId="32"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6" fillId="0" borderId="0"/>
    <xf numFmtId="164" fontId="6" fillId="0" borderId="0" applyFont="0" applyFill="0" applyBorder="0" applyAlignment="0" applyProtection="0"/>
    <xf numFmtId="165" fontId="1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17" fillId="0" borderId="0">
      <alignment vertical="center"/>
    </xf>
    <xf numFmtId="164" fontId="42" fillId="0" borderId="0" applyFont="0" applyFill="0" applyBorder="0" applyAlignment="0" applyProtection="0"/>
    <xf numFmtId="9" fontId="42" fillId="0" borderId="0" applyFont="0" applyFill="0" applyBorder="0" applyAlignment="0" applyProtection="0"/>
    <xf numFmtId="0" fontId="17" fillId="0" borderId="0"/>
    <xf numFmtId="164" fontId="5"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164" fontId="17" fillId="0" borderId="0" applyFont="0" applyFill="0" applyBorder="0" applyAlignment="0" applyProtection="0"/>
    <xf numFmtId="0" fontId="15" fillId="0" borderId="0"/>
    <xf numFmtId="0" fontId="17" fillId="0" borderId="0">
      <alignment vertical="center"/>
    </xf>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1928">
    <xf numFmtId="0" fontId="0" fillId="0" borderId="0" xfId="0"/>
    <xf numFmtId="0" fontId="7" fillId="0" borderId="0" xfId="10" applyFont="1"/>
    <xf numFmtId="0" fontId="7" fillId="0" borderId="0" xfId="10" applyFont="1" applyFill="1"/>
    <xf numFmtId="0" fontId="7" fillId="0" borderId="4" xfId="10" applyFont="1" applyFill="1" applyBorder="1"/>
    <xf numFmtId="0" fontId="8" fillId="0" borderId="4" xfId="10" applyFont="1" applyFill="1" applyBorder="1"/>
    <xf numFmtId="0" fontId="7" fillId="0" borderId="0" xfId="10" applyFont="1" applyBorder="1"/>
    <xf numFmtId="0" fontId="8" fillId="0" borderId="0" xfId="10" applyFont="1" applyBorder="1"/>
    <xf numFmtId="0" fontId="7" fillId="5" borderId="0" xfId="10" applyFont="1" applyFill="1" applyBorder="1"/>
    <xf numFmtId="0" fontId="8" fillId="0" borderId="0" xfId="10" applyFont="1" applyAlignment="1">
      <alignment horizontal="centerContinuous"/>
    </xf>
    <xf numFmtId="0" fontId="7" fillId="0" borderId="4" xfId="10" applyFont="1" applyBorder="1"/>
    <xf numFmtId="0" fontId="7" fillId="5" borderId="4" xfId="10" applyFont="1" applyFill="1" applyBorder="1"/>
    <xf numFmtId="0" fontId="7" fillId="0" borderId="0" xfId="10" applyFont="1" applyFill="1" applyBorder="1"/>
    <xf numFmtId="0" fontId="8" fillId="0" borderId="0" xfId="14" applyFont="1" applyFill="1" applyBorder="1" applyAlignment="1">
      <alignment horizontal="center" vertical="center" wrapText="1"/>
    </xf>
    <xf numFmtId="0" fontId="8" fillId="4" borderId="4" xfId="10" applyFont="1" applyFill="1" applyBorder="1"/>
    <xf numFmtId="0" fontId="7" fillId="0" borderId="0" xfId="14" applyFont="1">
      <alignment vertical="center"/>
    </xf>
    <xf numFmtId="0" fontId="8" fillId="0" borderId="0" xfId="14" applyFont="1" applyAlignment="1">
      <alignment horizontal="centerContinuous" vertical="center"/>
    </xf>
    <xf numFmtId="0" fontId="7" fillId="0" borderId="0" xfId="14" applyFont="1" applyAlignment="1">
      <alignment horizontal="centerContinuous" vertical="center"/>
    </xf>
    <xf numFmtId="0" fontId="8" fillId="0" borderId="0" xfId="10" applyFont="1" applyBorder="1" applyAlignment="1">
      <alignment horizontal="centerContinuous" vertical="top"/>
    </xf>
    <xf numFmtId="0" fontId="7" fillId="0" borderId="0" xfId="10" applyFont="1" applyBorder="1" applyAlignment="1">
      <alignment horizontal="centerContinuous"/>
    </xf>
    <xf numFmtId="0" fontId="8" fillId="0" borderId="0" xfId="10" applyFont="1" applyBorder="1" applyAlignment="1">
      <alignment horizontal="centerContinuous"/>
    </xf>
    <xf numFmtId="0" fontId="7" fillId="6" borderId="0" xfId="10" applyFont="1" applyFill="1" applyBorder="1" applyAlignment="1">
      <alignment horizontal="centerContinuous"/>
    </xf>
    <xf numFmtId="0" fontId="8" fillId="0" borderId="0" xfId="14" applyFont="1" applyAlignment="1">
      <alignment horizontal="right" vertical="center"/>
    </xf>
    <xf numFmtId="0" fontId="8" fillId="0" borderId="0" xfId="14" applyFont="1">
      <alignment vertical="center"/>
    </xf>
    <xf numFmtId="0" fontId="7" fillId="6" borderId="0" xfId="14" applyFont="1" applyFill="1" applyBorder="1">
      <alignment vertical="center"/>
    </xf>
    <xf numFmtId="0" fontId="7" fillId="0" borderId="4" xfId="14" applyFont="1" applyBorder="1">
      <alignment vertical="center"/>
    </xf>
    <xf numFmtId="0" fontId="8" fillId="5" borderId="4" xfId="10" applyFont="1" applyFill="1" applyBorder="1" applyAlignment="1" applyProtection="1">
      <alignment horizontal="left"/>
    </xf>
    <xf numFmtId="0" fontId="7" fillId="5" borderId="4" xfId="10" applyFont="1" applyFill="1" applyBorder="1" applyAlignment="1" applyProtection="1">
      <alignment horizontal="left"/>
    </xf>
    <xf numFmtId="0" fontId="8" fillId="0" borderId="4" xfId="14" applyFont="1" applyBorder="1">
      <alignment vertical="center"/>
    </xf>
    <xf numFmtId="0" fontId="7" fillId="5" borderId="4" xfId="10" quotePrefix="1" applyFont="1" applyFill="1" applyBorder="1" applyAlignment="1">
      <alignment horizontal="left" vertical="top" wrapText="1"/>
    </xf>
    <xf numFmtId="0" fontId="7" fillId="5" borderId="4" xfId="10" applyFont="1" applyFill="1" applyBorder="1" applyAlignment="1" applyProtection="1">
      <alignment horizontal="left" wrapText="1"/>
    </xf>
    <xf numFmtId="0" fontId="15" fillId="0" borderId="0" xfId="10" applyFont="1" applyAlignment="1">
      <alignment horizontal="center" vertical="center"/>
    </xf>
    <xf numFmtId="0" fontId="16" fillId="0" borderId="0" xfId="14" applyFont="1">
      <alignment vertical="center"/>
    </xf>
    <xf numFmtId="0" fontId="12" fillId="0" borderId="0" xfId="14" applyFont="1" applyAlignment="1">
      <alignment horizontal="right" vertical="center"/>
    </xf>
    <xf numFmtId="0" fontId="7" fillId="0" borderId="0" xfId="14" applyFont="1" applyAlignment="1">
      <alignment vertical="center"/>
    </xf>
    <xf numFmtId="0" fontId="7" fillId="0" borderId="0" xfId="10" applyFont="1" applyBorder="1" applyAlignment="1">
      <alignment horizontal="center" vertical="top"/>
    </xf>
    <xf numFmtId="0" fontId="7" fillId="0" borderId="0" xfId="10" applyFont="1" applyBorder="1" applyAlignment="1"/>
    <xf numFmtId="0" fontId="7" fillId="0" borderId="0" xfId="10" applyFont="1" applyBorder="1" applyAlignment="1">
      <alignment vertical="top"/>
    </xf>
    <xf numFmtId="0" fontId="7" fillId="0" borderId="4" xfId="10" applyFont="1" applyBorder="1" applyAlignment="1">
      <alignment vertical="top"/>
    </xf>
    <xf numFmtId="0" fontId="7" fillId="0" borderId="4" xfId="10" applyFont="1" applyBorder="1" applyAlignment="1"/>
    <xf numFmtId="0" fontId="8" fillId="5" borderId="4" xfId="14" applyFont="1" applyFill="1" applyBorder="1" applyAlignment="1">
      <alignment horizontal="center" vertical="center" wrapText="1"/>
    </xf>
    <xf numFmtId="0" fontId="8" fillId="0" borderId="4" xfId="10" applyFont="1" applyBorder="1"/>
    <xf numFmtId="0" fontId="7" fillId="0" borderId="0" xfId="10" applyFont="1" applyFill="1" applyBorder="1" applyProtection="1"/>
    <xf numFmtId="0" fontId="8" fillId="0" borderId="0" xfId="10" applyFont="1"/>
    <xf numFmtId="0" fontId="25" fillId="0" borderId="0" xfId="10" applyFont="1" applyBorder="1" applyAlignment="1">
      <alignment horizontal="left"/>
    </xf>
    <xf numFmtId="0" fontId="7" fillId="0" borderId="0" xfId="10" applyFont="1" applyBorder="1" applyAlignment="1">
      <alignment horizontal="left"/>
    </xf>
    <xf numFmtId="166" fontId="7" fillId="0" borderId="0" xfId="10" applyNumberFormat="1" applyFont="1" applyFill="1" applyBorder="1" applyProtection="1"/>
    <xf numFmtId="0" fontId="7" fillId="0" borderId="0" xfId="10" applyFont="1" applyBorder="1" applyAlignment="1">
      <alignment horizontal="center"/>
    </xf>
    <xf numFmtId="0" fontId="8" fillId="0" borderId="0" xfId="10" applyFont="1" applyFill="1" applyBorder="1" applyAlignment="1">
      <alignment horizontal="left" vertical="top"/>
    </xf>
    <xf numFmtId="0" fontId="8" fillId="0" borderId="0" xfId="10" applyFont="1" applyBorder="1" applyAlignment="1">
      <alignment horizontal="left"/>
    </xf>
    <xf numFmtId="0" fontId="8" fillId="5" borderId="0" xfId="10" applyFont="1" applyFill="1" applyBorder="1"/>
    <xf numFmtId="0" fontId="26" fillId="0" borderId="0" xfId="10" applyFont="1" applyBorder="1" applyAlignment="1">
      <alignment vertical="top" wrapText="1"/>
    </xf>
    <xf numFmtId="0" fontId="7" fillId="5" borderId="0" xfId="10" applyFont="1" applyFill="1" applyBorder="1" applyAlignment="1">
      <alignment wrapText="1"/>
    </xf>
    <xf numFmtId="0" fontId="8" fillId="0" borderId="0" xfId="14" applyFont="1" applyFill="1" applyBorder="1" applyAlignment="1">
      <alignment vertical="center" wrapText="1"/>
    </xf>
    <xf numFmtId="0" fontId="8" fillId="0" borderId="4" xfId="10" applyFont="1" applyFill="1" applyBorder="1" applyProtection="1"/>
    <xf numFmtId="0" fontId="7" fillId="0" borderId="4" xfId="10" applyFont="1" applyFill="1" applyBorder="1" applyAlignment="1" applyProtection="1">
      <alignment horizontal="left"/>
    </xf>
    <xf numFmtId="0" fontId="7" fillId="5" borderId="4" xfId="10" applyFont="1" applyFill="1" applyBorder="1" applyAlignment="1" applyProtection="1">
      <alignment vertical="top" wrapText="1"/>
    </xf>
    <xf numFmtId="0" fontId="8" fillId="5" borderId="4" xfId="10" applyFont="1" applyFill="1" applyBorder="1" applyAlignment="1" applyProtection="1">
      <alignment vertical="top" wrapText="1"/>
    </xf>
    <xf numFmtId="0" fontId="8" fillId="5" borderId="4" xfId="10" applyFont="1" applyFill="1" applyBorder="1" applyAlignment="1">
      <alignment horizontal="left" vertical="top" wrapText="1"/>
    </xf>
    <xf numFmtId="0" fontId="8" fillId="0" borderId="0" xfId="10" applyFont="1" applyBorder="1" applyAlignment="1">
      <alignment horizontal="right"/>
    </xf>
    <xf numFmtId="0" fontId="7" fillId="0" borderId="0" xfId="14" applyFont="1" applyFill="1" applyBorder="1">
      <alignment vertical="center"/>
    </xf>
    <xf numFmtId="0" fontId="8" fillId="0" borderId="0" xfId="10" applyFont="1" applyBorder="1" applyAlignment="1">
      <alignment vertical="center"/>
    </xf>
    <xf numFmtId="0" fontId="7" fillId="0" borderId="0" xfId="10" applyFont="1" applyFill="1" applyBorder="1" applyAlignment="1">
      <alignment horizontal="centerContinuous"/>
    </xf>
    <xf numFmtId="0" fontId="8" fillId="0" borderId="0" xfId="10" applyFont="1" applyFill="1" applyBorder="1" applyAlignment="1">
      <alignment horizontal="centerContinuous"/>
    </xf>
    <xf numFmtId="0" fontId="8" fillId="0" borderId="0" xfId="10" applyFont="1" applyBorder="1" applyAlignment="1">
      <alignment horizontal="left" vertical="top"/>
    </xf>
    <xf numFmtId="0" fontId="7" fillId="0" borderId="0" xfId="10" applyFont="1" applyAlignment="1"/>
    <xf numFmtId="0" fontId="7" fillId="0" borderId="0" xfId="10" applyFont="1" applyBorder="1" applyAlignment="1">
      <alignment horizontal="centerContinuous" vertical="top"/>
    </xf>
    <xf numFmtId="0" fontId="28" fillId="0" borderId="0" xfId="10" applyFont="1" applyFill="1" applyBorder="1"/>
    <xf numFmtId="0" fontId="8" fillId="0" borderId="0" xfId="10" applyFont="1" applyBorder="1" applyAlignment="1">
      <alignment horizontal="center"/>
    </xf>
    <xf numFmtId="0" fontId="8" fillId="0" borderId="4" xfId="10" applyFont="1" applyBorder="1" applyAlignment="1">
      <alignment vertical="top"/>
    </xf>
    <xf numFmtId="0" fontId="9" fillId="0" borderId="0" xfId="14" applyFont="1">
      <alignment vertical="center"/>
    </xf>
    <xf numFmtId="0" fontId="10" fillId="0" borderId="0" xfId="14" applyFont="1">
      <alignment vertical="center"/>
    </xf>
    <xf numFmtId="0" fontId="9" fillId="0" borderId="0" xfId="14" applyFont="1" applyFill="1">
      <alignment vertical="center"/>
    </xf>
    <xf numFmtId="0" fontId="10" fillId="0" borderId="0" xfId="14" applyFont="1" applyFill="1" applyBorder="1">
      <alignment vertical="center"/>
    </xf>
    <xf numFmtId="0" fontId="9" fillId="0" borderId="0" xfId="14" applyFont="1" applyFill="1" applyBorder="1">
      <alignment vertical="center"/>
    </xf>
    <xf numFmtId="0" fontId="7" fillId="6" borderId="0" xfId="10" applyFont="1" applyFill="1" applyBorder="1"/>
    <xf numFmtId="0" fontId="28" fillId="0" borderId="0" xfId="14" applyFont="1" applyFill="1">
      <alignment vertical="center"/>
    </xf>
    <xf numFmtId="0" fontId="8" fillId="0" borderId="0" xfId="10" applyFont="1" applyBorder="1" applyAlignment="1"/>
    <xf numFmtId="0" fontId="8" fillId="0" borderId="0" xfId="14" applyFont="1" applyFill="1" applyBorder="1" applyAlignment="1">
      <alignment horizontal="left" vertical="center"/>
    </xf>
    <xf numFmtId="0" fontId="25" fillId="0" borderId="4" xfId="10" applyFont="1" applyBorder="1" applyAlignment="1">
      <alignment horizontal="left"/>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0" borderId="0" xfId="10" applyFont="1" applyBorder="1" applyAlignment="1">
      <alignment horizontal="center" vertical="top"/>
    </xf>
    <xf numFmtId="0" fontId="10" fillId="0" borderId="0" xfId="10" applyFont="1" applyBorder="1" applyAlignment="1">
      <alignment horizontal="center" vertical="center"/>
    </xf>
    <xf numFmtId="0" fontId="7" fillId="0" borderId="0" xfId="10" applyFont="1" applyBorder="1" applyAlignment="1">
      <alignment vertical="center"/>
    </xf>
    <xf numFmtId="0" fontId="7" fillId="0" borderId="4" xfId="10" applyFont="1" applyFill="1" applyBorder="1" applyAlignment="1" applyProtection="1">
      <alignment horizontal="left" vertical="center"/>
    </xf>
    <xf numFmtId="0" fontId="7" fillId="0" borderId="0" xfId="10" applyFont="1" applyFill="1" applyBorder="1" applyAlignment="1">
      <alignment vertical="center"/>
    </xf>
    <xf numFmtId="0" fontId="8" fillId="0" borderId="0" xfId="10" applyFont="1" applyBorder="1" applyAlignment="1">
      <alignment horizontal="center" vertical="center"/>
    </xf>
    <xf numFmtId="0" fontId="9" fillId="0" borderId="0" xfId="10" applyFont="1"/>
    <xf numFmtId="0" fontId="7" fillId="0" borderId="4" xfId="10" applyFont="1" applyBorder="1" applyAlignment="1">
      <alignment horizontal="center" vertical="top"/>
    </xf>
    <xf numFmtId="0" fontId="7" fillId="0" borderId="0" xfId="10" applyFont="1" applyAlignment="1">
      <alignment vertical="center"/>
    </xf>
    <xf numFmtId="0" fontId="8" fillId="0" borderId="4" xfId="10" applyFont="1" applyBorder="1" applyAlignment="1">
      <alignment horizontal="left" vertical="top"/>
    </xf>
    <xf numFmtId="0" fontId="7" fillId="0" borderId="0" xfId="14" applyFont="1" applyAlignment="1">
      <alignment horizontal="center" vertical="center"/>
    </xf>
    <xf numFmtId="0" fontId="7" fillId="0" borderId="4" xfId="14" applyFont="1" applyBorder="1" applyAlignment="1">
      <alignment horizontal="center" vertical="center"/>
    </xf>
    <xf numFmtId="0" fontId="8" fillId="0" borderId="4" xfId="14" applyFont="1" applyBorder="1" applyAlignment="1">
      <alignment horizontal="center" vertical="center"/>
    </xf>
    <xf numFmtId="0" fontId="13" fillId="0" borderId="0" xfId="14" applyFont="1" applyAlignment="1">
      <alignment horizontal="left" vertical="center"/>
    </xf>
    <xf numFmtId="0" fontId="7" fillId="0" borderId="4" xfId="14" applyFont="1" applyBorder="1" applyAlignment="1">
      <alignment vertical="top" wrapText="1"/>
    </xf>
    <xf numFmtId="0" fontId="7" fillId="0" borderId="4" xfId="14" applyFont="1" applyBorder="1" applyAlignment="1">
      <alignment horizontal="center" vertical="top" wrapText="1"/>
    </xf>
    <xf numFmtId="0" fontId="8" fillId="0" borderId="4" xfId="14" applyFont="1" applyBorder="1" applyAlignment="1">
      <alignment vertical="top" wrapText="1"/>
    </xf>
    <xf numFmtId="0" fontId="8" fillId="4" borderId="4" xfId="10" applyFont="1" applyFill="1" applyBorder="1" applyAlignment="1">
      <alignment vertical="top" wrapText="1"/>
    </xf>
    <xf numFmtId="16" fontId="8" fillId="4" borderId="4" xfId="10" applyNumberFormat="1" applyFont="1" applyFill="1" applyBorder="1" applyAlignment="1">
      <alignment horizontal="center" vertical="center" wrapText="1"/>
    </xf>
    <xf numFmtId="0" fontId="8" fillId="0" borderId="4" xfId="10" applyFont="1" applyFill="1" applyBorder="1" applyAlignment="1" applyProtection="1">
      <alignment vertical="top" wrapText="1"/>
    </xf>
    <xf numFmtId="0" fontId="17" fillId="4" borderId="4" xfId="10" applyFill="1" applyBorder="1" applyAlignment="1">
      <alignment horizontal="center" vertical="center" wrapText="1"/>
    </xf>
    <xf numFmtId="0" fontId="8" fillId="0" borderId="4" xfId="10" applyFont="1" applyBorder="1" applyAlignment="1"/>
    <xf numFmtId="0" fontId="9" fillId="0" borderId="4" xfId="14" applyFont="1" applyFill="1" applyBorder="1" applyAlignment="1">
      <alignment horizontal="center" vertical="center"/>
    </xf>
    <xf numFmtId="0" fontId="10" fillId="0" borderId="4" xfId="10" applyFont="1" applyFill="1" applyBorder="1" applyAlignment="1">
      <alignment horizontal="center" vertical="center" wrapText="1"/>
    </xf>
    <xf numFmtId="0" fontId="10" fillId="0" borderId="4" xfId="10" applyFont="1" applyFill="1" applyBorder="1" applyAlignment="1">
      <alignment horizontal="center" vertical="center"/>
    </xf>
    <xf numFmtId="0" fontId="9" fillId="0" borderId="4" xfId="14" applyFont="1" applyBorder="1">
      <alignment vertical="center"/>
    </xf>
    <xf numFmtId="0" fontId="9" fillId="0" borderId="0" xfId="14" applyFont="1" applyAlignment="1">
      <alignment horizontal="center" vertical="center"/>
    </xf>
    <xf numFmtId="0" fontId="10" fillId="0" borderId="0" xfId="10" applyFont="1"/>
    <xf numFmtId="0" fontId="9" fillId="0" borderId="0" xfId="10" applyFont="1" applyAlignment="1">
      <alignment vertical="center"/>
    </xf>
    <xf numFmtId="0" fontId="17" fillId="0" borderId="0" xfId="10" applyAlignment="1">
      <alignment vertical="center"/>
    </xf>
    <xf numFmtId="0" fontId="8" fillId="0" borderId="4" xfId="14" applyFont="1" applyBorder="1" applyAlignment="1">
      <alignment horizontal="center" vertical="top" wrapText="1"/>
    </xf>
    <xf numFmtId="0" fontId="7" fillId="0" borderId="4" xfId="14" applyFont="1" applyFill="1" applyBorder="1">
      <alignment vertical="center"/>
    </xf>
    <xf numFmtId="0" fontId="7" fillId="0" borderId="4" xfId="14" applyFont="1" applyFill="1" applyBorder="1" applyAlignment="1">
      <alignment vertical="top" wrapText="1"/>
    </xf>
    <xf numFmtId="0" fontId="16" fillId="0" borderId="4" xfId="14" applyFont="1" applyBorder="1">
      <alignment vertical="center"/>
    </xf>
    <xf numFmtId="0" fontId="16" fillId="0" borderId="4" xfId="14" applyFont="1" applyBorder="1" applyAlignment="1">
      <alignment horizontal="center" vertical="center"/>
    </xf>
    <xf numFmtId="0" fontId="16" fillId="0" borderId="4" xfId="14" applyFont="1" applyBorder="1" applyAlignment="1">
      <alignment vertical="top" wrapText="1"/>
    </xf>
    <xf numFmtId="0" fontId="31" fillId="0" borderId="4" xfId="19" applyFont="1" applyBorder="1" applyAlignment="1">
      <alignment vertical="center"/>
    </xf>
    <xf numFmtId="0" fontId="31" fillId="0" borderId="4" xfId="19" applyFont="1" applyBorder="1" applyAlignment="1">
      <alignment horizontal="center" vertical="center"/>
    </xf>
    <xf numFmtId="0" fontId="30" fillId="0" borderId="4" xfId="19" applyFont="1" applyBorder="1" applyAlignment="1">
      <alignment vertical="center"/>
    </xf>
    <xf numFmtId="0" fontId="7" fillId="0" borderId="4" xfId="14" applyFont="1" applyBorder="1" applyAlignment="1">
      <alignment horizontal="left" vertical="center"/>
    </xf>
    <xf numFmtId="0" fontId="7" fillId="0" borderId="4" xfId="14" applyFont="1" applyFill="1" applyBorder="1" applyAlignment="1">
      <alignment horizontal="left" vertical="center"/>
    </xf>
    <xf numFmtId="0" fontId="7" fillId="0" borderId="0" xfId="10" applyFont="1" applyAlignment="1">
      <alignment vertical="top"/>
    </xf>
    <xf numFmtId="0" fontId="8" fillId="0" borderId="0" xfId="10" applyFont="1" applyAlignment="1">
      <alignment horizontal="center"/>
    </xf>
    <xf numFmtId="0" fontId="8" fillId="0" borderId="4" xfId="10" applyFont="1" applyBorder="1" applyAlignment="1">
      <alignment horizontal="center" vertical="center"/>
    </xf>
    <xf numFmtId="0" fontId="7" fillId="0" borderId="4" xfId="10" applyFont="1" applyBorder="1" applyAlignment="1">
      <alignment horizontal="center"/>
    </xf>
    <xf numFmtId="0" fontId="17" fillId="0" borderId="0" xfId="10" applyAlignment="1">
      <alignment horizontal="center" vertical="center"/>
    </xf>
    <xf numFmtId="0" fontId="8" fillId="0" borderId="0" xfId="14" applyFont="1" applyAlignment="1">
      <alignment horizontal="center" vertical="center"/>
    </xf>
    <xf numFmtId="0" fontId="8" fillId="4" borderId="4"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7" fillId="5" borderId="4" xfId="10" applyFont="1" applyFill="1" applyBorder="1" applyAlignment="1">
      <alignment horizontal="center" vertical="top"/>
    </xf>
    <xf numFmtId="0" fontId="7" fillId="5" borderId="4" xfId="14" applyFont="1" applyFill="1" applyBorder="1">
      <alignment vertical="center"/>
    </xf>
    <xf numFmtId="0" fontId="8" fillId="5" borderId="4" xfId="10" applyFont="1" applyFill="1" applyBorder="1" applyAlignment="1" applyProtection="1">
      <alignment horizontal="left" vertical="top" wrapText="1"/>
    </xf>
    <xf numFmtId="0" fontId="7" fillId="5" borderId="4" xfId="10" applyFont="1" applyFill="1" applyBorder="1" applyAlignment="1">
      <alignment horizontal="center"/>
    </xf>
    <xf numFmtId="0" fontId="8" fillId="5" borderId="4" xfId="10" applyFont="1" applyFill="1" applyBorder="1" applyAlignment="1">
      <alignment horizontal="center"/>
    </xf>
    <xf numFmtId="0" fontId="8" fillId="5" borderId="4" xfId="14" applyFont="1" applyFill="1" applyBorder="1" applyAlignment="1">
      <alignment horizontal="left" vertical="center" wrapText="1"/>
    </xf>
    <xf numFmtId="0" fontId="7" fillId="5" borderId="4" xfId="14" quotePrefix="1" applyFont="1" applyFill="1" applyBorder="1" applyAlignment="1">
      <alignment horizontal="center" vertical="center" wrapText="1"/>
    </xf>
    <xf numFmtId="0" fontId="7" fillId="5" borderId="4" xfId="14" applyFont="1" applyFill="1" applyBorder="1" applyAlignment="1">
      <alignment horizontal="center" vertical="center" wrapText="1"/>
    </xf>
    <xf numFmtId="0" fontId="7" fillId="6" borderId="4" xfId="14" applyFont="1" applyFill="1" applyBorder="1" applyAlignment="1">
      <alignment horizontal="left" vertical="center" wrapText="1"/>
    </xf>
    <xf numFmtId="0" fontId="7" fillId="5" borderId="4" xfId="14" applyFont="1" applyFill="1" applyBorder="1" applyAlignment="1">
      <alignment horizontal="left" vertical="center" wrapText="1"/>
    </xf>
    <xf numFmtId="0" fontId="8" fillId="0" borderId="4" xfId="10" applyFont="1" applyBorder="1" applyAlignment="1">
      <alignment vertical="top" wrapText="1"/>
    </xf>
    <xf numFmtId="0" fontId="7" fillId="0" borderId="4" xfId="10" applyFont="1" applyFill="1" applyBorder="1" applyProtection="1"/>
    <xf numFmtId="0" fontId="8" fillId="5" borderId="4" xfId="10" applyFont="1" applyFill="1" applyBorder="1" applyAlignment="1">
      <alignment horizontal="center" vertical="center"/>
    </xf>
    <xf numFmtId="0" fontId="8" fillId="5" borderId="4" xfId="10" applyFont="1" applyFill="1" applyBorder="1" applyAlignment="1">
      <alignment horizontal="center" vertical="top"/>
    </xf>
    <xf numFmtId="0" fontId="7" fillId="5" borderId="4" xfId="14" applyFont="1" applyFill="1" applyBorder="1" applyAlignment="1">
      <alignment vertical="center" wrapText="1"/>
    </xf>
    <xf numFmtId="0" fontId="7" fillId="0" borderId="4" xfId="14" applyFont="1" applyFill="1" applyBorder="1" applyAlignment="1">
      <alignment vertical="center" wrapText="1"/>
    </xf>
    <xf numFmtId="0" fontId="8" fillId="5" borderId="4" xfId="10" quotePrefix="1" applyFont="1" applyFill="1" applyBorder="1" applyAlignment="1">
      <alignment horizontal="center" vertical="top" wrapText="1"/>
    </xf>
    <xf numFmtId="0" fontId="8" fillId="0" borderId="0" xfId="10" applyFont="1" applyBorder="1" applyAlignment="1">
      <alignment horizontal="left" vertical="center"/>
    </xf>
    <xf numFmtId="0" fontId="8" fillId="0" borderId="0" xfId="10" applyFont="1" applyBorder="1" applyAlignment="1">
      <alignment horizontal="centerContinuous" vertical="center"/>
    </xf>
    <xf numFmtId="0" fontId="7" fillId="0" borderId="0" xfId="10" applyFont="1" applyBorder="1" applyAlignment="1">
      <alignment horizontal="centerContinuous" vertical="center"/>
    </xf>
    <xf numFmtId="0" fontId="7" fillId="5" borderId="4" xfId="10" applyFont="1" applyFill="1" applyBorder="1" applyAlignment="1">
      <alignment horizontal="center" vertical="center"/>
    </xf>
    <xf numFmtId="0" fontId="7" fillId="5" borderId="4" xfId="10" applyFont="1" applyFill="1" applyBorder="1" applyAlignment="1" applyProtection="1">
      <alignment vertical="center" wrapText="1"/>
    </xf>
    <xf numFmtId="0" fontId="8" fillId="5" borderId="4" xfId="10" applyFont="1" applyFill="1" applyBorder="1" applyAlignment="1" applyProtection="1">
      <alignment horizontal="left" vertical="center" wrapText="1"/>
    </xf>
    <xf numFmtId="0" fontId="7" fillId="0" borderId="4" xfId="10" applyFont="1" applyBorder="1" applyAlignment="1">
      <alignment vertical="center"/>
    </xf>
    <xf numFmtId="0" fontId="7" fillId="5" borderId="0" xfId="10" applyFont="1" applyFill="1" applyBorder="1" applyAlignment="1">
      <alignment vertical="center"/>
    </xf>
    <xf numFmtId="0" fontId="7" fillId="0" borderId="0" xfId="10" applyFont="1" applyBorder="1" applyAlignment="1">
      <alignment horizontal="left" vertical="center"/>
    </xf>
    <xf numFmtId="0" fontId="25" fillId="0" borderId="0" xfId="10" applyFont="1" applyBorder="1" applyAlignment="1">
      <alignment horizontal="left" vertical="center"/>
    </xf>
    <xf numFmtId="166" fontId="7" fillId="0" borderId="0" xfId="10" applyNumberFormat="1" applyFont="1" applyFill="1" applyBorder="1" applyAlignment="1" applyProtection="1">
      <alignment vertical="center"/>
    </xf>
    <xf numFmtId="0" fontId="7" fillId="0" borderId="4" xfId="10" applyFont="1" applyBorder="1" applyAlignment="1">
      <alignment horizontal="center" vertical="center"/>
    </xf>
    <xf numFmtId="0" fontId="8" fillId="5" borderId="4" xfId="10" applyFont="1" applyFill="1" applyBorder="1" applyAlignment="1" applyProtection="1">
      <alignment vertical="center" wrapText="1"/>
    </xf>
    <xf numFmtId="0" fontId="31" fillId="6" borderId="9" xfId="10" applyFont="1" applyFill="1" applyBorder="1"/>
    <xf numFmtId="0" fontId="31" fillId="6" borderId="11" xfId="10" applyFont="1" applyFill="1" applyBorder="1"/>
    <xf numFmtId="0" fontId="31" fillId="6" borderId="0" xfId="10" applyFont="1" applyFill="1" applyBorder="1"/>
    <xf numFmtId="0" fontId="31" fillId="6" borderId="0" xfId="10" applyFont="1" applyFill="1"/>
    <xf numFmtId="0" fontId="31" fillId="6" borderId="12" xfId="10" applyFont="1" applyFill="1" applyBorder="1"/>
    <xf numFmtId="0" fontId="30" fillId="6" borderId="0" xfId="10" applyFont="1" applyFill="1" applyBorder="1" applyAlignment="1">
      <alignment horizontal="left" vertical="top"/>
    </xf>
    <xf numFmtId="0" fontId="8" fillId="5" borderId="0" xfId="10" applyFont="1" applyFill="1" applyBorder="1" applyAlignment="1">
      <alignment vertical="center"/>
    </xf>
    <xf numFmtId="0" fontId="7" fillId="0" borderId="4" xfId="10" applyFont="1" applyFill="1" applyBorder="1" applyAlignment="1" applyProtection="1">
      <alignment horizontal="center" vertical="center"/>
    </xf>
    <xf numFmtId="0" fontId="26" fillId="0" borderId="4" xfId="14" applyFont="1" applyFill="1" applyBorder="1" applyAlignment="1">
      <alignment horizontal="center" vertical="center"/>
    </xf>
    <xf numFmtId="0" fontId="8" fillId="0" borderId="4" xfId="10" applyFont="1" applyFill="1" applyBorder="1" applyAlignment="1" applyProtection="1">
      <alignment horizontal="left" vertical="center" wrapText="1"/>
    </xf>
    <xf numFmtId="0" fontId="8" fillId="0" borderId="4" xfId="10" applyFont="1" applyFill="1" applyBorder="1" applyAlignment="1" applyProtection="1">
      <alignment horizontal="center" vertical="center" wrapText="1"/>
    </xf>
    <xf numFmtId="0" fontId="8" fillId="0" borderId="4" xfId="10" applyFont="1" applyFill="1" applyBorder="1" applyAlignment="1" applyProtection="1">
      <alignment horizontal="left" vertical="center"/>
    </xf>
    <xf numFmtId="0" fontId="7" fillId="0" borderId="4" xfId="10" applyFont="1" applyBorder="1" applyAlignment="1">
      <alignment vertical="top" wrapText="1"/>
    </xf>
    <xf numFmtId="0" fontId="8" fillId="0" borderId="4" xfId="10" applyFont="1" applyBorder="1" applyAlignment="1">
      <alignment horizontal="center" vertical="top"/>
    </xf>
    <xf numFmtId="0" fontId="7" fillId="4" borderId="4" xfId="10" applyFont="1" applyFill="1" applyBorder="1" applyAlignment="1">
      <alignment horizontal="center"/>
    </xf>
    <xf numFmtId="0" fontId="7" fillId="6" borderId="4" xfId="10" applyFont="1" applyFill="1" applyBorder="1" applyAlignment="1" applyProtection="1">
      <alignment horizontal="left"/>
    </xf>
    <xf numFmtId="0" fontId="8" fillId="4" borderId="7" xfId="14" applyFont="1" applyFill="1" applyBorder="1" applyAlignment="1">
      <alignment vertical="center" wrapText="1"/>
    </xf>
    <xf numFmtId="0" fontId="8" fillId="4" borderId="7" xfId="14" applyFont="1" applyFill="1" applyBorder="1" applyAlignment="1">
      <alignment vertical="center"/>
    </xf>
    <xf numFmtId="0" fontId="8" fillId="0" borderId="0" xfId="14" applyFont="1" applyAlignment="1">
      <alignment vertical="center"/>
    </xf>
    <xf numFmtId="0" fontId="14" fillId="0" borderId="0" xfId="10" applyFont="1" applyFill="1" applyBorder="1"/>
    <xf numFmtId="0" fontId="9" fillId="0" borderId="0" xfId="10" applyFont="1" applyFill="1" applyBorder="1"/>
    <xf numFmtId="0" fontId="9" fillId="0" borderId="0" xfId="10" applyFont="1" applyFill="1" applyBorder="1" applyAlignment="1">
      <alignment horizontal="centerContinuous"/>
    </xf>
    <xf numFmtId="0" fontId="9" fillId="0" borderId="0" xfId="10" applyFont="1" applyFill="1" applyBorder="1" applyAlignment="1">
      <alignment horizontal="centerContinuous" vertical="top"/>
    </xf>
    <xf numFmtId="0" fontId="10" fillId="0" borderId="0" xfId="10" applyFont="1" applyFill="1" applyBorder="1" applyAlignment="1">
      <alignment horizontal="centerContinuous"/>
    </xf>
    <xf numFmtId="0" fontId="10" fillId="7" borderId="7" xfId="0" applyFont="1" applyFill="1" applyBorder="1" applyAlignment="1">
      <alignment horizontal="center" vertical="center" wrapText="1"/>
    </xf>
    <xf numFmtId="0" fontId="10" fillId="7" borderId="7"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10" fillId="0" borderId="8" xfId="0" applyFont="1" applyFill="1" applyBorder="1" applyAlignment="1">
      <alignment vertical="center" wrapText="1"/>
    </xf>
    <xf numFmtId="0" fontId="10" fillId="0" borderId="4" xfId="0" applyFont="1" applyFill="1" applyBorder="1" applyAlignment="1">
      <alignment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vertical="center"/>
    </xf>
    <xf numFmtId="0" fontId="9" fillId="0" borderId="0" xfId="10" applyFont="1" applyFill="1" applyBorder="1" applyAlignment="1">
      <alignment horizontal="center"/>
    </xf>
    <xf numFmtId="0" fontId="9" fillId="0" borderId="0" xfId="10" applyFont="1" applyFill="1" applyBorder="1" applyAlignment="1">
      <alignment horizontal="center" vertical="top"/>
    </xf>
    <xf numFmtId="0" fontId="10" fillId="0" borderId="0" xfId="10" applyFont="1" applyFill="1" applyBorder="1" applyAlignment="1">
      <alignment horizontal="center"/>
    </xf>
    <xf numFmtId="0" fontId="10" fillId="0" borderId="0" xfId="14" applyFont="1" applyFill="1">
      <alignment vertical="center"/>
    </xf>
    <xf numFmtId="0" fontId="17" fillId="0" borderId="0" xfId="10" applyAlignment="1">
      <alignment horizontal="center" vertical="center"/>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5" borderId="0" xfId="10" applyFont="1" applyFill="1" applyBorder="1" applyAlignment="1">
      <alignment horizontal="center" vertical="center"/>
    </xf>
    <xf numFmtId="0" fontId="7" fillId="5" borderId="0" xfId="14" applyFont="1" applyFill="1" applyBorder="1">
      <alignment vertical="center"/>
    </xf>
    <xf numFmtId="0" fontId="7" fillId="9" borderId="4" xfId="14" applyFont="1" applyFill="1" applyBorder="1">
      <alignment vertical="center"/>
    </xf>
    <xf numFmtId="0" fontId="7" fillId="0" borderId="0" xfId="14" applyFont="1" applyBorder="1">
      <alignment vertical="center"/>
    </xf>
    <xf numFmtId="0" fontId="9" fillId="0" borderId="0" xfId="10" applyFont="1" applyAlignment="1">
      <alignment vertical="center" wrapText="1"/>
    </xf>
    <xf numFmtId="0" fontId="17" fillId="0" borderId="0" xfId="10" applyAlignment="1">
      <alignment horizontal="center" vertical="center"/>
    </xf>
    <xf numFmtId="0" fontId="8" fillId="0" borderId="0" xfId="10" applyFont="1" applyBorder="1" applyAlignment="1">
      <alignment horizontal="center" vertical="center"/>
    </xf>
    <xf numFmtId="0" fontId="8" fillId="0" borderId="0" xfId="14" applyFont="1" applyBorder="1">
      <alignment vertical="center"/>
    </xf>
    <xf numFmtId="0" fontId="7" fillId="0" borderId="0" xfId="10" applyFont="1" applyFill="1" applyBorder="1" applyAlignment="1" applyProtection="1">
      <alignment horizontal="center" vertical="center"/>
    </xf>
    <xf numFmtId="0" fontId="8" fillId="0" borderId="0" xfId="10" applyFont="1" applyFill="1" applyBorder="1" applyAlignment="1" applyProtection="1">
      <alignment horizontal="left" vertical="center" wrapText="1"/>
    </xf>
    <xf numFmtId="0" fontId="8" fillId="0" borderId="0" xfId="10" applyFont="1" applyFill="1" applyBorder="1" applyAlignment="1" applyProtection="1">
      <alignment horizontal="left" vertical="center"/>
    </xf>
    <xf numFmtId="0" fontId="16" fillId="0" borderId="4" xfId="14" applyFont="1" applyBorder="1" applyAlignment="1">
      <alignment vertical="top"/>
    </xf>
    <xf numFmtId="0" fontId="8" fillId="4" borderId="4" xfId="14" applyFont="1" applyFill="1" applyBorder="1" applyAlignment="1">
      <alignment horizontal="center" vertical="center" wrapText="1"/>
    </xf>
    <xf numFmtId="0" fontId="8" fillId="0" borderId="0" xfId="15" applyFont="1" applyAlignment="1">
      <alignment vertical="center" wrapText="1"/>
    </xf>
    <xf numFmtId="0" fontId="31" fillId="6" borderId="0" xfId="10" applyFont="1" applyFill="1" applyAlignment="1">
      <alignment vertical="center"/>
    </xf>
    <xf numFmtId="0" fontId="8" fillId="0" borderId="0" xfId="10" applyFont="1" applyBorder="1" applyAlignment="1">
      <alignment vertical="top"/>
    </xf>
    <xf numFmtId="0" fontId="17" fillId="0" borderId="0" xfId="10" applyAlignment="1">
      <alignment horizontal="center" vertical="center"/>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4" borderId="4" xfId="10" applyFont="1" applyFill="1" applyBorder="1" applyAlignment="1">
      <alignment horizontal="center" vertical="center" wrapText="1"/>
    </xf>
    <xf numFmtId="0" fontId="8" fillId="0" borderId="0" xfId="10" applyFont="1" applyBorder="1" applyAlignment="1">
      <alignment horizontal="center" vertical="top"/>
    </xf>
    <xf numFmtId="0" fontId="11" fillId="0" borderId="0" xfId="10" applyFont="1" applyFill="1" applyBorder="1"/>
    <xf numFmtId="0" fontId="27" fillId="0" borderId="0" xfId="10" applyFont="1" applyFill="1" applyBorder="1"/>
    <xf numFmtId="0" fontId="8" fillId="0" borderId="0" xfId="10" applyFont="1" applyFill="1" applyBorder="1" applyAlignment="1" applyProtection="1">
      <alignment vertical="top" wrapText="1"/>
    </xf>
    <xf numFmtId="0" fontId="26" fillId="0" borderId="0" xfId="10" applyFont="1"/>
    <xf numFmtId="0" fontId="38" fillId="0" borderId="0" xfId="10" applyFont="1"/>
    <xf numFmtId="0" fontId="7" fillId="0" borderId="4" xfId="14" applyFont="1" applyFill="1" applyBorder="1" applyAlignment="1">
      <alignment horizontal="center" vertical="center"/>
    </xf>
    <xf numFmtId="0" fontId="8" fillId="0" borderId="4" xfId="10" applyFont="1" applyFill="1" applyBorder="1" applyAlignment="1">
      <alignment horizontal="center" vertical="center" wrapText="1"/>
    </xf>
    <xf numFmtId="0" fontId="8" fillId="0" borderId="4" xfId="10" applyFont="1" applyFill="1" applyBorder="1" applyAlignment="1">
      <alignment horizontal="center" vertical="center"/>
    </xf>
    <xf numFmtId="0" fontId="8" fillId="0" borderId="4" xfId="14" applyFont="1" applyFill="1" applyBorder="1">
      <alignment vertical="center"/>
    </xf>
    <xf numFmtId="0" fontId="26" fillId="0" borderId="0" xfId="10" applyFont="1" applyAlignment="1">
      <alignment vertical="center"/>
    </xf>
    <xf numFmtId="0" fontId="8" fillId="0" borderId="0" xfId="14" applyFont="1" applyBorder="1" applyAlignment="1">
      <alignment horizontal="center" vertical="top" wrapText="1"/>
    </xf>
    <xf numFmtId="0" fontId="8" fillId="0" borderId="0" xfId="14" applyFont="1" applyBorder="1" applyAlignment="1">
      <alignment vertical="top" wrapText="1"/>
    </xf>
    <xf numFmtId="170" fontId="37" fillId="0" borderId="4" xfId="64" applyNumberFormat="1" applyFont="1" applyBorder="1"/>
    <xf numFmtId="170" fontId="39" fillId="10" borderId="4" xfId="64" applyNumberFormat="1" applyFont="1" applyFill="1" applyBorder="1"/>
    <xf numFmtId="170" fontId="37" fillId="13" borderId="4" xfId="64" applyNumberFormat="1" applyFont="1" applyFill="1" applyBorder="1"/>
    <xf numFmtId="165" fontId="39" fillId="10" borderId="4" xfId="64" applyFont="1" applyFill="1" applyBorder="1"/>
    <xf numFmtId="0" fontId="7" fillId="0" borderId="4" xfId="14" applyFont="1" applyBorder="1" applyAlignment="1">
      <alignment horizontal="center" vertical="center" wrapText="1"/>
    </xf>
    <xf numFmtId="0" fontId="7" fillId="0" borderId="0" xfId="14" applyFont="1" applyAlignment="1">
      <alignment horizontal="left" vertical="center"/>
    </xf>
    <xf numFmtId="0" fontId="7" fillId="0" borderId="0" xfId="0" applyFont="1"/>
    <xf numFmtId="0" fontId="40" fillId="0" borderId="0" xfId="14" applyFont="1" applyAlignment="1">
      <alignment horizontal="left" vertical="center"/>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4" borderId="5" xfId="14" applyFont="1" applyFill="1" applyBorder="1" applyAlignment="1">
      <alignment horizontal="center" vertical="center" wrapText="1"/>
    </xf>
    <xf numFmtId="170" fontId="37" fillId="6" borderId="4" xfId="64" applyNumberFormat="1" applyFont="1" applyFill="1" applyBorder="1"/>
    <xf numFmtId="170" fontId="37" fillId="8" borderId="4" xfId="64" applyNumberFormat="1" applyFont="1" applyFill="1" applyBorder="1"/>
    <xf numFmtId="0" fontId="11" fillId="0" borderId="0" xfId="10" applyFont="1" applyAlignment="1">
      <alignment horizontal="left"/>
    </xf>
    <xf numFmtId="0" fontId="8" fillId="0" borderId="0" xfId="10" applyFont="1" applyAlignment="1">
      <alignment horizontal="right"/>
    </xf>
    <xf numFmtId="0" fontId="8" fillId="4" borderId="4" xfId="68" applyFont="1" applyFill="1" applyBorder="1" applyAlignment="1">
      <alignment horizontal="center" vertical="center" wrapText="1"/>
    </xf>
    <xf numFmtId="0" fontId="7" fillId="6" borderId="0" xfId="68" applyFont="1" applyFill="1">
      <alignment vertical="center"/>
    </xf>
    <xf numFmtId="0" fontId="25" fillId="0" borderId="0" xfId="10" applyFont="1" applyAlignment="1">
      <alignment horizontal="left"/>
    </xf>
    <xf numFmtId="0" fontId="8" fillId="4" borderId="4" xfId="31" quotePrefix="1" applyFont="1" applyFill="1" applyBorder="1" applyAlignment="1">
      <alignment horizontal="center" vertical="center" wrapText="1"/>
    </xf>
    <xf numFmtId="0" fontId="8" fillId="0" borderId="0" xfId="10" applyFont="1" applyAlignment="1">
      <alignment horizontal="left" vertical="top"/>
    </xf>
    <xf numFmtId="0" fontId="8" fillId="6" borderId="0" xfId="31" applyFont="1" applyFill="1" applyAlignment="1">
      <alignment horizontal="left" vertical="top"/>
    </xf>
    <xf numFmtId="0" fontId="8" fillId="6" borderId="0" xfId="10" applyFont="1" applyFill="1" applyAlignment="1">
      <alignment horizontal="left" vertical="top"/>
    </xf>
    <xf numFmtId="0" fontId="25" fillId="6" borderId="0" xfId="10" applyFont="1" applyFill="1" applyAlignment="1">
      <alignment horizontal="left"/>
    </xf>
    <xf numFmtId="0" fontId="7" fillId="6" borderId="0" xfId="14" applyFont="1" applyFill="1">
      <alignment vertical="center"/>
    </xf>
    <xf numFmtId="0" fontId="7" fillId="6" borderId="4" xfId="10" applyFont="1" applyFill="1" applyBorder="1"/>
    <xf numFmtId="0" fontId="7" fillId="0" borderId="0" xfId="68" applyFont="1">
      <alignment vertical="center"/>
    </xf>
    <xf numFmtId="0" fontId="7" fillId="0" borderId="4" xfId="68" applyFont="1" applyBorder="1">
      <alignment vertical="center"/>
    </xf>
    <xf numFmtId="0" fontId="7" fillId="0" borderId="4" xfId="68" applyFont="1" applyBorder="1" applyAlignment="1">
      <alignment horizontal="center" vertical="center"/>
    </xf>
    <xf numFmtId="0" fontId="8" fillId="0" borderId="4" xfId="68" applyFont="1" applyBorder="1">
      <alignment vertical="center"/>
    </xf>
    <xf numFmtId="0" fontId="8" fillId="0" borderId="0" xfId="68" applyFont="1">
      <alignment vertical="center"/>
    </xf>
    <xf numFmtId="0" fontId="8" fillId="0" borderId="4" xfId="31" applyFont="1" applyBorder="1" applyAlignment="1">
      <alignment horizontal="center" vertical="center" wrapText="1"/>
    </xf>
    <xf numFmtId="0" fontId="8" fillId="0" borderId="7" xfId="31" applyFont="1" applyBorder="1" applyAlignment="1">
      <alignment horizontal="center" vertical="center" wrapText="1"/>
    </xf>
    <xf numFmtId="0" fontId="8" fillId="0" borderId="6" xfId="68" applyFont="1" applyBorder="1" applyAlignment="1">
      <alignment horizontal="center" vertical="center"/>
    </xf>
    <xf numFmtId="0" fontId="8" fillId="7" borderId="4" xfId="31" applyFont="1" applyFill="1" applyBorder="1" applyAlignment="1">
      <alignment horizontal="center" vertical="center" wrapText="1"/>
    </xf>
    <xf numFmtId="0" fontId="8" fillId="7" borderId="7" xfId="31" applyFont="1" applyFill="1" applyBorder="1" applyAlignment="1">
      <alignment horizontal="center" vertical="center" wrapText="1"/>
    </xf>
    <xf numFmtId="0" fontId="7" fillId="0" borderId="0" xfId="68" applyFont="1" applyAlignment="1">
      <alignment horizontal="center" vertical="center"/>
    </xf>
    <xf numFmtId="0" fontId="8" fillId="0" borderId="0" xfId="68" applyFont="1" applyAlignment="1">
      <alignment horizontal="left" vertical="center"/>
    </xf>
    <xf numFmtId="0" fontId="8" fillId="0" borderId="0" xfId="10" applyFont="1" applyAlignment="1">
      <alignment vertical="top"/>
    </xf>
    <xf numFmtId="0" fontId="16" fillId="6" borderId="4" xfId="14" applyFont="1" applyFill="1" applyBorder="1">
      <alignment vertical="center"/>
    </xf>
    <xf numFmtId="0" fontId="16" fillId="6" borderId="4" xfId="14" applyFont="1" applyFill="1" applyBorder="1" applyAlignment="1">
      <alignment horizontal="left" vertical="center"/>
    </xf>
    <xf numFmtId="0" fontId="9" fillId="6" borderId="0" xfId="14" applyFont="1" applyFill="1">
      <alignment vertical="center"/>
    </xf>
    <xf numFmtId="0" fontId="10" fillId="6" borderId="0" xfId="14" applyFont="1" applyFill="1">
      <alignment vertical="center"/>
    </xf>
    <xf numFmtId="0" fontId="17" fillId="0" borderId="0" xfId="10" applyAlignment="1">
      <alignment horizontal="center" vertical="center"/>
    </xf>
    <xf numFmtId="0" fontId="8" fillId="0" borderId="0" xfId="14" applyFont="1" applyAlignment="1">
      <alignment horizontal="center" vertical="center"/>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xf>
    <xf numFmtId="0" fontId="8" fillId="4" borderId="4" xfId="14" applyFont="1" applyFill="1" applyBorder="1" applyAlignment="1">
      <alignment horizontal="center" vertical="center" wrapText="1"/>
    </xf>
    <xf numFmtId="0" fontId="8" fillId="4" borderId="5" xfId="14" applyFont="1" applyFill="1" applyBorder="1" applyAlignment="1">
      <alignment horizontal="center" vertical="center" wrapText="1"/>
    </xf>
    <xf numFmtId="0" fontId="34" fillId="6" borderId="0" xfId="10" applyFont="1" applyFill="1" applyBorder="1" applyAlignment="1">
      <alignment horizontal="left" vertical="center" wrapText="1"/>
    </xf>
    <xf numFmtId="0" fontId="31" fillId="6" borderId="0" xfId="10" applyFont="1" applyFill="1" applyAlignment="1">
      <alignment vertical="center"/>
    </xf>
    <xf numFmtId="0" fontId="8" fillId="7" borderId="4" xfId="14" applyFont="1" applyFill="1" applyBorder="1" applyAlignment="1">
      <alignment horizontal="center" vertical="center" wrapText="1"/>
    </xf>
    <xf numFmtId="0" fontId="34" fillId="6" borderId="0" xfId="10" applyFont="1" applyFill="1" applyBorder="1" applyAlignment="1">
      <alignment horizontal="left" vertical="center"/>
    </xf>
    <xf numFmtId="0" fontId="30" fillId="7" borderId="4" xfId="10" applyFont="1" applyFill="1" applyBorder="1" applyAlignment="1">
      <alignment horizontal="center" vertical="center"/>
    </xf>
    <xf numFmtId="0" fontId="40" fillId="0" borderId="0" xfId="14" applyFont="1" applyAlignment="1">
      <alignment horizontal="left" vertical="center"/>
    </xf>
    <xf numFmtId="0" fontId="8" fillId="7" borderId="4" xfId="14" applyFont="1" applyFill="1" applyBorder="1" applyAlignment="1">
      <alignment horizontal="center" vertical="center"/>
    </xf>
    <xf numFmtId="0" fontId="7" fillId="6" borderId="0" xfId="10" applyFont="1" applyFill="1" applyBorder="1" applyAlignment="1">
      <alignment horizontal="center"/>
    </xf>
    <xf numFmtId="0" fontId="40" fillId="0" borderId="0" xfId="14" applyFont="1">
      <alignment vertical="center"/>
    </xf>
    <xf numFmtId="0" fontId="7" fillId="5" borderId="4" xfId="10" applyFont="1" applyFill="1" applyBorder="1" applyAlignment="1" applyProtection="1">
      <alignment horizontal="center" wrapText="1"/>
    </xf>
    <xf numFmtId="0" fontId="8" fillId="4" borderId="4" xfId="10" applyFont="1" applyFill="1" applyBorder="1" applyAlignment="1">
      <alignment horizontal="center" vertical="center" wrapText="1"/>
    </xf>
    <xf numFmtId="0" fontId="8" fillId="4" borderId="4" xfId="10" applyFont="1" applyFill="1" applyBorder="1" applyAlignment="1">
      <alignment horizontal="center" vertical="center"/>
    </xf>
    <xf numFmtId="0" fontId="8" fillId="4" borderId="4" xfId="14" applyFont="1" applyFill="1" applyBorder="1" applyAlignment="1">
      <alignment horizontal="center" vertical="center" wrapText="1"/>
    </xf>
    <xf numFmtId="164" fontId="7" fillId="0" borderId="4" xfId="69" applyFont="1" applyBorder="1" applyAlignment="1">
      <alignment vertical="center"/>
    </xf>
    <xf numFmtId="164" fontId="7" fillId="6" borderId="4" xfId="69" applyFont="1" applyFill="1" applyBorder="1" applyAlignment="1">
      <alignment vertical="center"/>
    </xf>
    <xf numFmtId="164" fontId="7" fillId="0" borderId="4" xfId="14" applyNumberFormat="1" applyFont="1" applyBorder="1">
      <alignment vertical="center"/>
    </xf>
    <xf numFmtId="0" fontId="8" fillId="0" borderId="4" xfId="10" applyFont="1" applyFill="1" applyBorder="1" applyAlignment="1" applyProtection="1">
      <alignment horizontal="left"/>
    </xf>
    <xf numFmtId="164" fontId="8" fillId="5" borderId="4" xfId="69" applyFont="1" applyFill="1" applyBorder="1" applyAlignment="1" applyProtection="1">
      <alignment horizontal="left"/>
    </xf>
    <xf numFmtId="9" fontId="9" fillId="0" borderId="0" xfId="14" applyNumberFormat="1" applyFont="1" applyFill="1">
      <alignment vertical="center"/>
    </xf>
    <xf numFmtId="1" fontId="9" fillId="0" borderId="0" xfId="14" applyNumberFormat="1" applyFont="1" applyFill="1">
      <alignment vertical="center"/>
    </xf>
    <xf numFmtId="164" fontId="8" fillId="0" borderId="4" xfId="14" applyNumberFormat="1" applyFont="1" applyBorder="1">
      <alignment vertical="center"/>
    </xf>
    <xf numFmtId="0" fontId="8" fillId="0" borderId="4" xfId="14" applyFont="1" applyFill="1" applyBorder="1" applyAlignment="1">
      <alignment horizontal="center" vertical="center"/>
    </xf>
    <xf numFmtId="0" fontId="7" fillId="0" borderId="0" xfId="14" applyFont="1" applyFill="1">
      <alignment vertical="center"/>
    </xf>
    <xf numFmtId="0" fontId="8" fillId="7" borderId="4" xfId="14" applyFont="1" applyFill="1" applyBorder="1" applyAlignment="1">
      <alignment horizontal="center" vertical="center" wrapText="1"/>
    </xf>
    <xf numFmtId="164" fontId="8" fillId="0" borderId="4" xfId="69" applyFont="1" applyBorder="1"/>
    <xf numFmtId="164" fontId="7" fillId="5" borderId="4" xfId="69" applyFont="1" applyFill="1" applyBorder="1" applyAlignment="1" applyProtection="1">
      <alignment horizontal="left"/>
    </xf>
    <xf numFmtId="164" fontId="7" fillId="0" borderId="4" xfId="69" applyFont="1" applyFill="1" applyBorder="1" applyAlignment="1">
      <alignment vertical="center"/>
    </xf>
    <xf numFmtId="164" fontId="26" fillId="0" borderId="4" xfId="69" applyFont="1" applyFill="1" applyBorder="1" applyAlignment="1">
      <alignment horizontal="center" vertical="center"/>
    </xf>
    <xf numFmtId="164" fontId="17" fillId="0" borderId="4" xfId="69" applyFont="1" applyFill="1" applyBorder="1" applyAlignment="1">
      <alignment horizontal="center" vertical="center" wrapText="1"/>
    </xf>
    <xf numFmtId="164" fontId="7" fillId="0" borderId="0" xfId="69" applyFont="1" applyBorder="1" applyAlignment="1">
      <alignment vertical="center"/>
    </xf>
    <xf numFmtId="164" fontId="7" fillId="0" borderId="4" xfId="69" applyFont="1" applyFill="1" applyBorder="1" applyAlignment="1" applyProtection="1">
      <alignment horizontal="left" vertical="center"/>
    </xf>
    <xf numFmtId="164" fontId="26" fillId="0" borderId="4" xfId="69" applyFont="1" applyFill="1" applyBorder="1" applyAlignment="1">
      <alignment vertical="center"/>
    </xf>
    <xf numFmtId="164" fontId="7" fillId="0" borderId="0" xfId="69" applyFont="1" applyFill="1" applyBorder="1" applyAlignment="1">
      <alignment vertical="center"/>
    </xf>
    <xf numFmtId="164" fontId="8" fillId="0" borderId="4" xfId="69" applyFont="1" applyBorder="1" applyAlignment="1">
      <alignment vertical="center"/>
    </xf>
    <xf numFmtId="164" fontId="7" fillId="0" borderId="0" xfId="69" applyFont="1" applyAlignment="1">
      <alignment vertical="center"/>
    </xf>
    <xf numFmtId="164" fontId="7" fillId="0" borderId="4" xfId="69" applyFont="1" applyBorder="1" applyAlignment="1">
      <alignment vertical="top" wrapText="1"/>
    </xf>
    <xf numFmtId="9" fontId="7" fillId="0" borderId="4" xfId="14" applyNumberFormat="1" applyFont="1" applyBorder="1">
      <alignment vertical="center"/>
    </xf>
    <xf numFmtId="9" fontId="7" fillId="0" borderId="4" xfId="70" applyFont="1" applyBorder="1" applyAlignment="1">
      <alignment vertical="center"/>
    </xf>
    <xf numFmtId="164" fontId="9" fillId="0" borderId="4" xfId="69" applyFont="1" applyBorder="1" applyAlignment="1">
      <alignment vertical="center"/>
    </xf>
    <xf numFmtId="2" fontId="9" fillId="0" borderId="4" xfId="14" applyNumberFormat="1" applyFont="1" applyBorder="1">
      <alignment vertical="center"/>
    </xf>
    <xf numFmtId="164" fontId="9" fillId="0" borderId="4" xfId="14" applyNumberFormat="1" applyFont="1" applyBorder="1">
      <alignment vertical="center"/>
    </xf>
    <xf numFmtId="164" fontId="9" fillId="0" borderId="4" xfId="69" applyFont="1" applyFill="1" applyBorder="1" applyAlignment="1">
      <alignment vertical="center"/>
    </xf>
    <xf numFmtId="164" fontId="9" fillId="0" borderId="0" xfId="69" applyFont="1"/>
    <xf numFmtId="0" fontId="8" fillId="7" borderId="4" xfId="14" applyFont="1" applyFill="1" applyBorder="1" applyAlignment="1">
      <alignment horizontal="center" vertical="center" wrapText="1"/>
    </xf>
    <xf numFmtId="0" fontId="7" fillId="0" borderId="0" xfId="14" applyFont="1" applyFill="1" applyBorder="1" applyAlignment="1">
      <alignment horizontal="centerContinuous" vertical="center"/>
    </xf>
    <xf numFmtId="0" fontId="7" fillId="0" borderId="0" xfId="10" applyFont="1" applyFill="1" applyBorder="1" applyAlignment="1">
      <alignment horizontal="center"/>
    </xf>
    <xf numFmtId="164" fontId="7" fillId="0" borderId="4" xfId="14" applyNumberFormat="1" applyFont="1" applyFill="1" applyBorder="1">
      <alignment vertical="center"/>
    </xf>
    <xf numFmtId="0" fontId="8" fillId="0" borderId="0" xfId="14" applyFont="1" applyAlignment="1">
      <alignment horizontal="center" vertical="center"/>
    </xf>
    <xf numFmtId="0" fontId="12" fillId="0" borderId="4" xfId="10" applyFont="1" applyBorder="1" applyAlignment="1">
      <alignment horizontal="center" vertical="center" wrapText="1"/>
    </xf>
    <xf numFmtId="0" fontId="12" fillId="0" borderId="4" xfId="10" applyFont="1" applyBorder="1" applyAlignment="1">
      <alignment horizontal="left" vertical="center"/>
    </xf>
    <xf numFmtId="166" fontId="7" fillId="0" borderId="4" xfId="10" applyNumberFormat="1" applyFont="1" applyFill="1" applyBorder="1" applyProtection="1"/>
    <xf numFmtId="0" fontId="12" fillId="5" borderId="4" xfId="10" applyFont="1" applyFill="1" applyBorder="1" applyAlignment="1">
      <alignment horizontal="center" vertical="top"/>
    </xf>
    <xf numFmtId="0" fontId="12" fillId="0" borderId="4" xfId="10" applyFont="1" applyFill="1" applyBorder="1" applyAlignment="1" applyProtection="1">
      <alignment horizontal="left"/>
    </xf>
    <xf numFmtId="0" fontId="16" fillId="5" borderId="4" xfId="10" applyFont="1" applyFill="1" applyBorder="1" applyAlignment="1">
      <alignment horizontal="center" vertical="top"/>
    </xf>
    <xf numFmtId="164" fontId="7" fillId="0" borderId="4" xfId="69" applyFont="1" applyBorder="1"/>
    <xf numFmtId="2" fontId="7" fillId="5" borderId="0" xfId="10" applyNumberFormat="1" applyFont="1" applyFill="1" applyBorder="1"/>
    <xf numFmtId="164" fontId="8" fillId="0" borderId="4" xfId="69" applyFont="1" applyBorder="1" applyAlignment="1">
      <alignment horizontal="left" vertical="top"/>
    </xf>
    <xf numFmtId="164" fontId="7" fillId="0" borderId="4" xfId="69" applyFont="1" applyBorder="1" applyAlignment="1">
      <alignment horizontal="left" vertical="top"/>
    </xf>
    <xf numFmtId="164" fontId="7" fillId="6" borderId="4" xfId="69" applyFont="1" applyFill="1" applyBorder="1" applyAlignment="1">
      <alignment horizontal="left" vertical="top"/>
    </xf>
    <xf numFmtId="164" fontId="7" fillId="6" borderId="4" xfId="69" applyFont="1" applyFill="1" applyBorder="1" applyAlignment="1">
      <alignment horizontal="left" vertical="top" wrapText="1"/>
    </xf>
    <xf numFmtId="164" fontId="7" fillId="0" borderId="4" xfId="69" applyFont="1" applyFill="1" applyBorder="1" applyAlignment="1" applyProtection="1">
      <alignment horizontal="left"/>
    </xf>
    <xf numFmtId="164" fontId="10" fillId="0" borderId="4" xfId="69" applyFont="1" applyFill="1" applyBorder="1" applyAlignment="1">
      <alignment vertical="center"/>
    </xf>
    <xf numFmtId="164" fontId="10" fillId="0" borderId="4" xfId="69" applyFont="1" applyFill="1" applyBorder="1" applyAlignment="1">
      <alignment horizontal="center" vertical="center" wrapText="1"/>
    </xf>
    <xf numFmtId="164" fontId="10" fillId="0" borderId="4" xfId="69" applyFont="1" applyFill="1" applyBorder="1" applyAlignment="1">
      <alignment horizontal="center" vertical="center"/>
    </xf>
    <xf numFmtId="0" fontId="7" fillId="0" borderId="0" xfId="10" applyFont="1" applyFill="1" applyAlignment="1">
      <alignment vertical="center"/>
    </xf>
    <xf numFmtId="0" fontId="7" fillId="0" borderId="0" xfId="10" applyFont="1" applyFill="1" applyAlignment="1">
      <alignment vertical="top"/>
    </xf>
    <xf numFmtId="0" fontId="16" fillId="5" borderId="4" xfId="14" applyFont="1" applyFill="1" applyBorder="1" applyAlignment="1">
      <alignment horizontal="center" vertical="center" wrapText="1"/>
    </xf>
    <xf numFmtId="10" fontId="7" fillId="0" borderId="4" xfId="70" applyNumberFormat="1" applyFont="1" applyFill="1" applyBorder="1" applyAlignment="1">
      <alignment vertical="center"/>
    </xf>
    <xf numFmtId="164" fontId="7" fillId="0" borderId="4" xfId="69" applyFont="1" applyFill="1" applyBorder="1" applyAlignment="1">
      <alignment vertical="top" wrapText="1"/>
    </xf>
    <xf numFmtId="164" fontId="8" fillId="0" borderId="4" xfId="69" applyFont="1" applyFill="1" applyBorder="1" applyAlignment="1">
      <alignment vertical="center"/>
    </xf>
    <xf numFmtId="164" fontId="7" fillId="0" borderId="0" xfId="14" applyNumberFormat="1" applyFont="1">
      <alignment vertical="center"/>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0" borderId="0" xfId="10" applyFont="1" applyAlignment="1">
      <alignment horizontal="left"/>
    </xf>
    <xf numFmtId="0" fontId="8" fillId="4" borderId="4" xfId="31" applyFont="1" applyFill="1" applyBorder="1" applyAlignment="1">
      <alignment horizontal="center" vertical="center" wrapText="1"/>
    </xf>
    <xf numFmtId="0" fontId="8" fillId="0" borderId="0" xfId="10" applyFont="1" applyBorder="1" applyAlignment="1">
      <alignment horizontal="center" vertical="center"/>
    </xf>
    <xf numFmtId="0" fontId="8" fillId="4" borderId="4" xfId="14" applyFont="1" applyFill="1" applyBorder="1" applyAlignment="1">
      <alignment horizontal="center" vertical="center" wrapText="1"/>
    </xf>
    <xf numFmtId="0" fontId="12" fillId="5" borderId="4" xfId="14" applyFont="1" applyFill="1" applyBorder="1" applyAlignment="1">
      <alignment horizontal="center" wrapText="1"/>
    </xf>
    <xf numFmtId="0" fontId="16" fillId="5" borderId="4" xfId="14" quotePrefix="1" applyFont="1" applyFill="1" applyBorder="1" applyAlignment="1">
      <alignment horizontal="center" vertical="center" wrapText="1"/>
    </xf>
    <xf numFmtId="0" fontId="16" fillId="5" borderId="4" xfId="14" applyFont="1" applyFill="1" applyBorder="1" applyAlignment="1">
      <alignment horizontal="center" wrapText="1"/>
    </xf>
    <xf numFmtId="0" fontId="16" fillId="6" borderId="4" xfId="14" applyFont="1" applyFill="1" applyBorder="1" applyAlignment="1">
      <alignment vertical="center" wrapText="1"/>
    </xf>
    <xf numFmtId="168" fontId="16" fillId="5" borderId="4" xfId="14" applyNumberFormat="1" applyFont="1" applyFill="1" applyBorder="1" applyAlignment="1">
      <alignment horizontal="center" wrapText="1"/>
    </xf>
    <xf numFmtId="2" fontId="16" fillId="5" borderId="4" xfId="14" applyNumberFormat="1" applyFont="1" applyFill="1" applyBorder="1" applyAlignment="1">
      <alignment horizontal="center" vertical="center" wrapText="1"/>
    </xf>
    <xf numFmtId="2" fontId="16" fillId="5" borderId="4" xfId="14" applyNumberFormat="1" applyFont="1" applyFill="1" applyBorder="1" applyAlignment="1">
      <alignment horizontal="center" wrapText="1"/>
    </xf>
    <xf numFmtId="0" fontId="12" fillId="0" borderId="4" xfId="10" applyFont="1" applyBorder="1" applyAlignment="1">
      <alignment horizontal="center"/>
    </xf>
    <xf numFmtId="0" fontId="16" fillId="0" borderId="4" xfId="10" applyFont="1" applyBorder="1" applyAlignment="1">
      <alignment horizontal="center"/>
    </xf>
    <xf numFmtId="0" fontId="16" fillId="0" borderId="4" xfId="10" applyFont="1" applyBorder="1" applyAlignment="1">
      <alignment vertical="top"/>
    </xf>
    <xf numFmtId="0" fontId="12" fillId="5" borderId="4" xfId="14" applyFont="1" applyFill="1" applyBorder="1" applyAlignment="1">
      <alignment horizontal="center" vertical="center" wrapText="1"/>
    </xf>
    <xf numFmtId="0" fontId="16" fillId="0" borderId="4"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6" fillId="0" borderId="4" xfId="10" applyFont="1" applyFill="1" applyBorder="1" applyAlignment="1">
      <alignment vertical="top"/>
    </xf>
    <xf numFmtId="0" fontId="12" fillId="0" borderId="4" xfId="10" applyFont="1" applyBorder="1"/>
    <xf numFmtId="0" fontId="12" fillId="6" borderId="4" xfId="14" applyFont="1" applyFill="1" applyBorder="1" applyAlignment="1">
      <alignment vertical="center" wrapText="1"/>
    </xf>
    <xf numFmtId="0" fontId="15" fillId="5" borderId="4" xfId="10" applyFont="1" applyFill="1" applyBorder="1" applyAlignment="1">
      <alignment horizontal="center" vertical="center"/>
    </xf>
    <xf numFmtId="0" fontId="16" fillId="0" borderId="4" xfId="10" applyFont="1" applyFill="1" applyBorder="1" applyProtection="1"/>
    <xf numFmtId="0" fontId="16" fillId="0" borderId="4" xfId="10" applyFont="1" applyFill="1" applyBorder="1" applyAlignment="1" applyProtection="1">
      <alignment horizontal="left"/>
    </xf>
    <xf numFmtId="164" fontId="12" fillId="0" borderId="4" xfId="69" applyFont="1" applyBorder="1"/>
    <xf numFmtId="0" fontId="12" fillId="5" borderId="4" xfId="10" applyFont="1" applyFill="1" applyBorder="1" applyAlignment="1" applyProtection="1">
      <alignment vertical="top" wrapText="1"/>
    </xf>
    <xf numFmtId="164" fontId="12" fillId="0" borderId="4" xfId="69" applyFont="1" applyFill="1" applyBorder="1"/>
    <xf numFmtId="0" fontId="12" fillId="0" borderId="4" xfId="10" applyFont="1" applyFill="1" applyBorder="1"/>
    <xf numFmtId="0" fontId="12" fillId="5" borderId="4" xfId="10" applyFont="1" applyFill="1" applyBorder="1" applyAlignment="1">
      <alignment horizontal="center" vertical="center"/>
    </xf>
    <xf numFmtId="0" fontId="16" fillId="5" borderId="4" xfId="10" applyFont="1" applyFill="1" applyBorder="1" applyAlignment="1">
      <alignment horizontal="center" vertical="center"/>
    </xf>
    <xf numFmtId="0" fontId="12" fillId="5" borderId="4" xfId="10" applyFont="1" applyFill="1" applyBorder="1" applyAlignment="1">
      <alignment horizontal="center"/>
    </xf>
    <xf numFmtId="0" fontId="12" fillId="5" borderId="4" xfId="10" applyFont="1" applyFill="1" applyBorder="1"/>
    <xf numFmtId="0" fontId="16" fillId="5" borderId="4" xfId="10" applyFont="1" applyFill="1" applyBorder="1"/>
    <xf numFmtId="0" fontId="8" fillId="7" borderId="4" xfId="14" applyFont="1" applyFill="1" applyBorder="1" applyAlignment="1">
      <alignment horizontal="center" vertical="center" wrapText="1"/>
    </xf>
    <xf numFmtId="0" fontId="7" fillId="0" borderId="4" xfId="14" applyFont="1" applyBorder="1" applyAlignment="1">
      <alignment vertical="center"/>
    </xf>
    <xf numFmtId="0" fontId="7" fillId="0" borderId="4" xfId="14" applyFont="1" applyFill="1" applyBorder="1" applyAlignment="1">
      <alignment vertical="center"/>
    </xf>
    <xf numFmtId="0" fontId="7" fillId="6" borderId="4" xfId="14" applyFont="1" applyFill="1" applyBorder="1" applyAlignment="1">
      <alignment vertical="center"/>
    </xf>
    <xf numFmtId="0" fontId="7" fillId="0" borderId="4" xfId="10" applyFont="1" applyFill="1" applyBorder="1" applyAlignment="1" applyProtection="1">
      <alignment vertical="center"/>
    </xf>
    <xf numFmtId="0" fontId="8" fillId="0" borderId="4" xfId="10" applyFont="1" applyFill="1" applyBorder="1" applyAlignment="1" applyProtection="1">
      <alignment vertical="center" wrapText="1"/>
    </xf>
    <xf numFmtId="0" fontId="7" fillId="0" borderId="4" xfId="10" applyFont="1" applyFill="1" applyBorder="1" applyAlignment="1" applyProtection="1">
      <alignment vertical="center" wrapText="1"/>
    </xf>
    <xf numFmtId="0" fontId="16" fillId="0" borderId="4" xfId="14" applyFont="1" applyFill="1" applyBorder="1" applyAlignment="1">
      <alignment vertical="center" wrapText="1"/>
    </xf>
    <xf numFmtId="0" fontId="16" fillId="0" borderId="4" xfId="10" applyFont="1" applyFill="1" applyBorder="1" applyAlignment="1">
      <alignment horizontal="center" vertical="top"/>
    </xf>
    <xf numFmtId="164" fontId="12" fillId="0" borderId="4" xfId="69" applyFont="1" applyFill="1" applyBorder="1" applyAlignment="1">
      <alignment horizontal="center" vertical="center" wrapText="1"/>
    </xf>
    <xf numFmtId="0" fontId="8" fillId="0" borderId="0" xfId="10" applyFont="1" applyFill="1" applyBorder="1"/>
    <xf numFmtId="0" fontId="12" fillId="0" borderId="4" xfId="10" applyFont="1" applyFill="1" applyBorder="1" applyAlignment="1" applyProtection="1">
      <alignment vertical="top" wrapText="1"/>
    </xf>
    <xf numFmtId="0" fontId="16" fillId="0" borderId="4" xfId="10" applyFont="1" applyFill="1" applyBorder="1" applyAlignment="1" applyProtection="1">
      <alignment vertical="top" wrapText="1"/>
    </xf>
    <xf numFmtId="0" fontId="12" fillId="0" borderId="4" xfId="10" applyFont="1" applyFill="1" applyBorder="1" applyAlignment="1">
      <alignment horizontal="center" vertical="center"/>
    </xf>
    <xf numFmtId="0" fontId="7" fillId="0" borderId="4" xfId="10" applyFont="1" applyFill="1" applyBorder="1" applyAlignment="1">
      <alignment horizontal="center" vertical="center"/>
    </xf>
    <xf numFmtId="0" fontId="7" fillId="0" borderId="0" xfId="10" applyFont="1" applyFill="1" applyBorder="1" applyAlignment="1"/>
    <xf numFmtId="0" fontId="8" fillId="0" borderId="4" xfId="10" applyFont="1" applyFill="1" applyBorder="1" applyAlignment="1" applyProtection="1">
      <alignment vertical="center"/>
    </xf>
    <xf numFmtId="176" fontId="7" fillId="0" borderId="4" xfId="69" applyNumberFormat="1" applyFont="1" applyFill="1" applyBorder="1" applyAlignment="1" applyProtection="1">
      <alignment vertical="center" wrapText="1"/>
    </xf>
    <xf numFmtId="176" fontId="7" fillId="0" borderId="0" xfId="69" applyNumberFormat="1" applyFont="1" applyAlignment="1">
      <alignment vertical="center"/>
    </xf>
    <xf numFmtId="0" fontId="7" fillId="5" borderId="4" xfId="10" applyFont="1" applyFill="1" applyBorder="1" applyAlignment="1">
      <alignment horizontal="left"/>
    </xf>
    <xf numFmtId="176" fontId="7" fillId="5" borderId="4" xfId="69" applyNumberFormat="1" applyFont="1" applyFill="1" applyBorder="1" applyAlignment="1" applyProtection="1">
      <alignment horizontal="left"/>
    </xf>
    <xf numFmtId="176" fontId="8" fillId="5" borderId="4" xfId="69" applyNumberFormat="1" applyFont="1" applyFill="1" applyBorder="1" applyAlignment="1" applyProtection="1">
      <alignment horizontal="left"/>
    </xf>
    <xf numFmtId="176" fontId="7" fillId="0" borderId="4" xfId="69" applyNumberFormat="1" applyFont="1" applyBorder="1"/>
    <xf numFmtId="176" fontId="8" fillId="0" borderId="4" xfId="69" applyNumberFormat="1" applyFont="1" applyFill="1" applyBorder="1" applyAlignment="1">
      <alignment vertical="center"/>
    </xf>
    <xf numFmtId="176" fontId="7" fillId="5" borderId="4" xfId="69" quotePrefix="1" applyNumberFormat="1" applyFont="1" applyFill="1" applyBorder="1" applyAlignment="1">
      <alignment horizontal="left" vertical="top" wrapText="1"/>
    </xf>
    <xf numFmtId="176" fontId="7" fillId="5" borderId="0" xfId="69" quotePrefix="1" applyNumberFormat="1" applyFont="1" applyFill="1" applyBorder="1" applyAlignment="1">
      <alignment horizontal="left" vertical="top" wrapText="1"/>
    </xf>
    <xf numFmtId="176" fontId="7" fillId="0" borderId="0" xfId="69" applyNumberFormat="1" applyFont="1" applyBorder="1" applyAlignment="1">
      <alignment vertical="center"/>
    </xf>
    <xf numFmtId="176" fontId="13" fillId="0" borderId="0" xfId="69" applyNumberFormat="1" applyFont="1" applyAlignment="1">
      <alignment horizontal="left" vertical="center"/>
    </xf>
    <xf numFmtId="176" fontId="8" fillId="7" borderId="4" xfId="69" applyNumberFormat="1" applyFont="1" applyFill="1" applyBorder="1" applyAlignment="1">
      <alignment horizontal="center" vertical="center"/>
    </xf>
    <xf numFmtId="176" fontId="8" fillId="7" borderId="4" xfId="69" applyNumberFormat="1" applyFont="1" applyFill="1" applyBorder="1" applyAlignment="1">
      <alignment horizontal="center" vertical="center" wrapText="1"/>
    </xf>
    <xf numFmtId="176" fontId="7" fillId="9" borderId="4" xfId="69" applyNumberFormat="1" applyFont="1" applyFill="1" applyBorder="1" applyAlignment="1">
      <alignment vertical="center"/>
    </xf>
    <xf numFmtId="176" fontId="7" fillId="0" borderId="4" xfId="69" applyNumberFormat="1" applyFont="1" applyBorder="1" applyAlignment="1">
      <alignment vertical="center"/>
    </xf>
    <xf numFmtId="176" fontId="8" fillId="0" borderId="4" xfId="69" applyNumberFormat="1" applyFont="1" applyFill="1" applyBorder="1" applyAlignment="1" applyProtection="1">
      <alignment vertical="center" wrapText="1"/>
    </xf>
    <xf numFmtId="176" fontId="8" fillId="0" borderId="4" xfId="69" applyNumberFormat="1" applyFont="1" applyBorder="1" applyAlignment="1">
      <alignment vertical="center"/>
    </xf>
    <xf numFmtId="164" fontId="7" fillId="0" borderId="4" xfId="69" applyFont="1" applyFill="1" applyBorder="1"/>
    <xf numFmtId="164" fontId="8" fillId="0" borderId="4" xfId="69" applyFont="1" applyFill="1" applyBorder="1"/>
    <xf numFmtId="0" fontId="7" fillId="0" borderId="4" xfId="10" quotePrefix="1" applyFont="1" applyFill="1" applyBorder="1" applyAlignment="1">
      <alignment horizontal="left" vertical="top" wrapText="1"/>
    </xf>
    <xf numFmtId="0" fontId="7" fillId="0" borderId="4" xfId="10" applyFont="1" applyFill="1" applyBorder="1" applyAlignment="1">
      <alignment horizontal="left" vertical="top" wrapText="1"/>
    </xf>
    <xf numFmtId="0" fontId="31" fillId="0" borderId="4" xfId="0" applyFont="1" applyBorder="1"/>
    <xf numFmtId="0" fontId="7" fillId="0" borderId="4" xfId="10" applyFont="1" applyBorder="1" applyAlignment="1">
      <alignment horizontal="left"/>
    </xf>
    <xf numFmtId="0" fontId="8" fillId="4" borderId="4" xfId="14" applyFont="1" applyFill="1" applyBorder="1" applyAlignment="1">
      <alignment horizontal="center" vertical="center" wrapText="1"/>
    </xf>
    <xf numFmtId="10" fontId="16" fillId="0" borderId="4" xfId="70" applyNumberFormat="1" applyFont="1" applyFill="1" applyBorder="1" applyAlignment="1">
      <alignment vertical="center"/>
    </xf>
    <xf numFmtId="0" fontId="7" fillId="0" borderId="4" xfId="14" applyFont="1" applyFill="1" applyBorder="1" applyAlignment="1">
      <alignment horizontal="center" vertical="top" wrapText="1"/>
    </xf>
    <xf numFmtId="164" fontId="8" fillId="0" borderId="4" xfId="69" applyFont="1" applyFill="1" applyBorder="1" applyAlignment="1">
      <alignment vertical="top" wrapText="1"/>
    </xf>
    <xf numFmtId="10" fontId="7" fillId="0" borderId="4" xfId="40" applyNumberFormat="1" applyFont="1" applyFill="1" applyBorder="1" applyAlignment="1">
      <alignment horizontal="center" vertical="center"/>
    </xf>
    <xf numFmtId="164" fontId="8" fillId="0" borderId="4" xfId="69" applyFont="1" applyFill="1" applyBorder="1" applyAlignment="1">
      <alignment horizontal="center" vertical="center"/>
    </xf>
    <xf numFmtId="9" fontId="9" fillId="0" borderId="4" xfId="14" applyNumberFormat="1" applyFont="1" applyBorder="1">
      <alignment vertical="center"/>
    </xf>
    <xf numFmtId="10" fontId="7" fillId="14" borderId="0" xfId="70" applyNumberFormat="1" applyFont="1" applyFill="1" applyBorder="1"/>
    <xf numFmtId="10" fontId="7" fillId="0" borderId="0" xfId="70" applyNumberFormat="1" applyFont="1" applyBorder="1"/>
    <xf numFmtId="164" fontId="7" fillId="6" borderId="4" xfId="69" applyFont="1" applyFill="1" applyBorder="1"/>
    <xf numFmtId="0" fontId="12" fillId="0" borderId="4" xfId="14" applyFont="1" applyFill="1" applyBorder="1" applyAlignment="1">
      <alignment horizontal="center" wrapText="1"/>
    </xf>
    <xf numFmtId="0" fontId="16" fillId="0" borderId="4" xfId="14" quotePrefix="1" applyFont="1" applyFill="1" applyBorder="1" applyAlignment="1">
      <alignment horizontal="center" vertical="center" wrapText="1"/>
    </xf>
    <xf numFmtId="0" fontId="12" fillId="0" borderId="4" xfId="10" applyFont="1" applyFill="1" applyBorder="1" applyAlignment="1">
      <alignment horizontal="center"/>
    </xf>
    <xf numFmtId="0" fontId="7" fillId="0" borderId="4" xfId="10" applyFont="1" applyFill="1" applyBorder="1" applyAlignment="1">
      <alignment horizontal="center"/>
    </xf>
    <xf numFmtId="0" fontId="7" fillId="0" borderId="4" xfId="10" applyFont="1" applyFill="1" applyBorder="1" applyAlignment="1">
      <alignment horizontal="center" vertical="top"/>
    </xf>
    <xf numFmtId="0" fontId="8" fillId="0" borderId="0" xfId="10" applyFont="1" applyFill="1"/>
    <xf numFmtId="0" fontId="31" fillId="0" borderId="4" xfId="0" applyFont="1" applyFill="1" applyBorder="1"/>
    <xf numFmtId="164" fontId="7" fillId="0" borderId="4" xfId="69" applyFont="1" applyFill="1" applyBorder="1" applyAlignment="1">
      <alignment horizontal="left" vertical="top"/>
    </xf>
    <xf numFmtId="164" fontId="7" fillId="0" borderId="4" xfId="69" applyFont="1" applyFill="1" applyBorder="1" applyAlignment="1">
      <alignment horizontal="left" vertical="top" wrapText="1"/>
    </xf>
    <xf numFmtId="43" fontId="9" fillId="0" borderId="0" xfId="14" applyNumberFormat="1" applyFont="1" applyFill="1">
      <alignment vertical="center"/>
    </xf>
    <xf numFmtId="9" fontId="16" fillId="0" borderId="4" xfId="70" applyFont="1" applyFill="1" applyBorder="1" applyAlignment="1">
      <alignment vertical="top"/>
    </xf>
    <xf numFmtId="0" fontId="16" fillId="0" borderId="4" xfId="14" applyFont="1" applyFill="1" applyBorder="1" applyAlignment="1">
      <alignment horizontal="center" wrapText="1"/>
    </xf>
    <xf numFmtId="0" fontId="12" fillId="0" borderId="4" xfId="10" applyFont="1" applyFill="1" applyBorder="1" applyAlignment="1">
      <alignment horizontal="center" vertical="top"/>
    </xf>
    <xf numFmtId="177" fontId="7" fillId="0" borderId="4" xfId="69" applyNumberFormat="1" applyFont="1" applyFill="1" applyBorder="1" applyAlignment="1">
      <alignment horizontal="center" vertical="center"/>
    </xf>
    <xf numFmtId="177" fontId="8" fillId="0" borderId="4" xfId="69" applyNumberFormat="1" applyFont="1" applyFill="1" applyBorder="1" applyAlignment="1">
      <alignment horizontal="center" vertical="center"/>
    </xf>
    <xf numFmtId="164" fontId="8" fillId="0" borderId="0" xfId="69" applyFont="1" applyAlignment="1">
      <alignment horizontal="left" vertical="top"/>
    </xf>
    <xf numFmtId="164" fontId="8" fillId="14" borderId="0" xfId="69" applyFont="1" applyFill="1" applyAlignment="1">
      <alignment horizontal="center" vertical="top"/>
    </xf>
    <xf numFmtId="164" fontId="25" fillId="0" borderId="0" xfId="69" applyFont="1" applyAlignment="1">
      <alignment horizontal="left"/>
    </xf>
    <xf numFmtId="164" fontId="7" fillId="0" borderId="4" xfId="69" applyFont="1" applyFill="1" applyBorder="1" applyAlignment="1" applyProtection="1">
      <alignment vertical="center" wrapText="1"/>
    </xf>
    <xf numFmtId="164" fontId="7" fillId="0" borderId="4" xfId="69" applyFont="1" applyBorder="1" applyAlignment="1">
      <alignment vertical="center" wrapText="1"/>
    </xf>
    <xf numFmtId="164" fontId="7" fillId="0" borderId="4" xfId="69" applyFont="1" applyFill="1" applyBorder="1" applyAlignment="1" applyProtection="1">
      <alignment vertical="center"/>
    </xf>
    <xf numFmtId="164" fontId="8" fillId="0" borderId="4" xfId="69" applyFont="1" applyFill="1" applyBorder="1" applyAlignment="1" applyProtection="1">
      <alignment vertical="center"/>
    </xf>
    <xf numFmtId="164" fontId="9" fillId="0" borderId="4" xfId="69" applyFont="1" applyFill="1" applyBorder="1" applyAlignment="1">
      <alignment horizontal="center" vertical="center"/>
    </xf>
    <xf numFmtId="0" fontId="9" fillId="0" borderId="4" xfId="71" applyFont="1" applyFill="1" applyBorder="1" applyAlignment="1">
      <alignment vertical="center" wrapText="1"/>
    </xf>
    <xf numFmtId="0" fontId="9" fillId="0" borderId="4" xfId="71" applyFont="1" applyFill="1" applyBorder="1" applyAlignment="1">
      <alignment horizontal="center" vertical="center" wrapText="1"/>
    </xf>
    <xf numFmtId="0" fontId="7" fillId="0" borderId="4" xfId="10" applyFont="1" applyFill="1" applyBorder="1" applyAlignment="1">
      <alignment vertical="center"/>
    </xf>
    <xf numFmtId="164" fontId="7" fillId="0" borderId="4" xfId="29" applyFont="1" applyFill="1" applyBorder="1" applyAlignment="1">
      <alignment vertical="center"/>
    </xf>
    <xf numFmtId="0" fontId="7" fillId="0" borderId="0" xfId="10" applyFont="1" applyFill="1" applyAlignment="1">
      <alignment horizontal="center" vertical="center"/>
    </xf>
    <xf numFmtId="164" fontId="7" fillId="0" borderId="0" xfId="29" applyFont="1" applyFill="1" applyAlignment="1">
      <alignment horizontal="center" vertical="center"/>
    </xf>
    <xf numFmtId="0" fontId="7" fillId="0" borderId="0" xfId="10" applyFont="1" applyAlignment="1">
      <alignment vertical="center" wrapText="1"/>
    </xf>
    <xf numFmtId="164" fontId="8" fillId="0" borderId="4" xfId="14" applyNumberFormat="1" applyFont="1" applyFill="1" applyBorder="1">
      <alignment vertical="center"/>
    </xf>
    <xf numFmtId="164" fontId="8" fillId="0" borderId="4" xfId="29" applyFont="1" applyFill="1" applyBorder="1" applyAlignment="1">
      <alignment vertical="center"/>
    </xf>
    <xf numFmtId="2" fontId="7" fillId="0" borderId="4" xfId="14" applyNumberFormat="1" applyFont="1" applyFill="1" applyBorder="1">
      <alignment vertical="center"/>
    </xf>
    <xf numFmtId="0" fontId="8" fillId="0" borderId="4" xfId="14" applyFont="1" applyFill="1" applyBorder="1" applyAlignment="1">
      <alignment horizontal="center" vertical="top" wrapText="1"/>
    </xf>
    <xf numFmtId="0" fontId="8" fillId="0" borderId="4" xfId="14" applyFont="1" applyFill="1" applyBorder="1" applyAlignment="1">
      <alignment vertical="top" wrapText="1"/>
    </xf>
    <xf numFmtId="0" fontId="8" fillId="4" borderId="4" xfId="14" applyFont="1" applyFill="1" applyBorder="1" applyAlignment="1">
      <alignment horizontal="center" vertical="center" wrapText="1"/>
    </xf>
    <xf numFmtId="0" fontId="7" fillId="0" borderId="4" xfId="14" applyFont="1" applyFill="1" applyBorder="1" applyAlignment="1">
      <alignment vertical="top"/>
    </xf>
    <xf numFmtId="43" fontId="7" fillId="0" borderId="0" xfId="14" applyNumberFormat="1" applyFont="1">
      <alignment vertical="center"/>
    </xf>
    <xf numFmtId="10" fontId="35" fillId="0" borderId="4" xfId="70" applyNumberFormat="1" applyFont="1" applyFill="1" applyBorder="1"/>
    <xf numFmtId="164" fontId="7" fillId="0" borderId="4" xfId="69" applyFont="1" applyFill="1" applyBorder="1" applyAlignment="1">
      <alignment horizontal="center" vertical="center" wrapText="1"/>
    </xf>
    <xf numFmtId="164" fontId="8" fillId="0" borderId="4" xfId="69" applyFont="1" applyFill="1" applyBorder="1" applyAlignment="1">
      <alignment horizontal="center" vertical="center" wrapText="1"/>
    </xf>
    <xf numFmtId="164" fontId="16" fillId="0" borderId="4" xfId="69" applyFont="1" applyFill="1" applyBorder="1" applyAlignment="1">
      <alignment vertical="top"/>
    </xf>
    <xf numFmtId="164" fontId="12" fillId="0" borderId="4" xfId="69" applyFont="1" applyFill="1" applyBorder="1" applyAlignment="1">
      <alignment vertical="top"/>
    </xf>
    <xf numFmtId="10" fontId="7" fillId="0" borderId="4" xfId="70" applyNumberFormat="1" applyFont="1" applyFill="1" applyBorder="1" applyAlignment="1">
      <alignment horizontal="center" vertical="center"/>
    </xf>
    <xf numFmtId="0" fontId="16" fillId="0" borderId="4" xfId="10" applyFont="1" applyFill="1" applyBorder="1" applyAlignment="1">
      <alignment horizontal="center"/>
    </xf>
    <xf numFmtId="0" fontId="16" fillId="0" borderId="4" xfId="10" applyFont="1" applyFill="1" applyBorder="1"/>
    <xf numFmtId="169" fontId="16" fillId="0" borderId="4" xfId="69" applyNumberFormat="1" applyFont="1" applyFill="1" applyBorder="1" applyAlignment="1">
      <alignment vertical="top"/>
    </xf>
    <xf numFmtId="0" fontId="51" fillId="0" borderId="0" xfId="0" applyFont="1"/>
    <xf numFmtId="0" fontId="51" fillId="0" borderId="0" xfId="0" applyFont="1" applyAlignment="1">
      <alignment horizontal="left"/>
    </xf>
    <xf numFmtId="0" fontId="53" fillId="0" borderId="4" xfId="0" applyFont="1" applyFill="1" applyBorder="1" applyAlignment="1">
      <alignment horizontal="left" vertical="center"/>
    </xf>
    <xf numFmtId="0" fontId="53" fillId="0" borderId="4" xfId="0" applyFont="1" applyFill="1" applyBorder="1" applyAlignment="1">
      <alignment horizontal="left" vertical="center" wrapText="1"/>
    </xf>
    <xf numFmtId="0" fontId="51" fillId="0" borderId="4" xfId="0" applyFont="1" applyBorder="1" applyAlignment="1">
      <alignment horizontal="center"/>
    </xf>
    <xf numFmtId="0" fontId="54" fillId="0" borderId="4" xfId="0" applyFont="1" applyFill="1" applyBorder="1" applyAlignment="1">
      <alignment horizontal="left" vertical="center" wrapText="1"/>
    </xf>
    <xf numFmtId="0" fontId="52" fillId="0" borderId="0" xfId="0" applyFont="1" applyAlignment="1">
      <alignment horizontal="left"/>
    </xf>
    <xf numFmtId="0" fontId="8" fillId="4" borderId="4" xfId="14" applyFont="1" applyFill="1" applyBorder="1" applyAlignment="1">
      <alignment horizontal="center" vertical="center" wrapText="1"/>
    </xf>
    <xf numFmtId="169" fontId="8" fillId="0" borderId="4" xfId="69" applyNumberFormat="1" applyFont="1" applyFill="1" applyBorder="1" applyAlignment="1">
      <alignment horizontal="center" vertical="center"/>
    </xf>
    <xf numFmtId="0" fontId="8" fillId="0" borderId="5" xfId="14" applyFont="1" applyFill="1" applyBorder="1">
      <alignment vertical="center"/>
    </xf>
    <xf numFmtId="0" fontId="8" fillId="0" borderId="4" xfId="14" applyFont="1" applyFill="1" applyBorder="1" applyAlignment="1">
      <alignment horizontal="left" vertical="center"/>
    </xf>
    <xf numFmtId="164" fontId="16" fillId="0" borderId="4" xfId="69" applyFont="1" applyFill="1" applyBorder="1" applyAlignment="1">
      <alignment vertical="center"/>
    </xf>
    <xf numFmtId="0" fontId="31" fillId="6" borderId="0" xfId="10" applyFont="1" applyFill="1" applyAlignment="1">
      <alignment vertical="center"/>
    </xf>
    <xf numFmtId="164" fontId="7" fillId="0" borderId="4" xfId="69" quotePrefix="1" applyFont="1" applyFill="1" applyBorder="1" applyAlignment="1">
      <alignment horizontal="center" vertical="center"/>
    </xf>
    <xf numFmtId="0" fontId="8" fillId="6" borderId="0" xfId="14" applyFont="1" applyFill="1" applyBorder="1" applyAlignment="1">
      <alignment vertical="center"/>
    </xf>
    <xf numFmtId="0" fontId="8" fillId="6" borderId="0" xfId="10" applyFont="1" applyFill="1" applyBorder="1" applyAlignment="1">
      <alignment vertical="center"/>
    </xf>
    <xf numFmtId="10" fontId="8" fillId="0" borderId="4" xfId="70" applyNumberFormat="1" applyFont="1" applyFill="1" applyBorder="1" applyAlignment="1">
      <alignment vertical="center"/>
    </xf>
    <xf numFmtId="10" fontId="7" fillId="0" borderId="4" xfId="70" applyNumberFormat="1" applyFont="1" applyFill="1" applyBorder="1" applyAlignment="1">
      <alignment horizontal="center" vertical="center" wrapText="1"/>
    </xf>
    <xf numFmtId="10" fontId="16" fillId="0" borderId="4" xfId="70" applyNumberFormat="1" applyFont="1" applyFill="1" applyBorder="1" applyAlignment="1">
      <alignment vertical="center" wrapText="1"/>
    </xf>
    <xf numFmtId="10" fontId="16" fillId="0" borderId="4" xfId="70" applyNumberFormat="1" applyFont="1" applyFill="1" applyBorder="1" applyAlignment="1">
      <alignment vertical="top"/>
    </xf>
    <xf numFmtId="2" fontId="16" fillId="0" borderId="4" xfId="14" applyNumberFormat="1" applyFont="1" applyFill="1" applyBorder="1" applyAlignment="1">
      <alignment horizontal="center" vertical="center" wrapText="1"/>
    </xf>
    <xf numFmtId="10" fontId="16" fillId="0" borderId="4" xfId="70" applyNumberFormat="1" applyFont="1" applyFill="1" applyBorder="1" applyAlignment="1"/>
    <xf numFmtId="10" fontId="16" fillId="0" borderId="4" xfId="70" applyNumberFormat="1" applyFont="1" applyFill="1" applyBorder="1" applyAlignment="1">
      <alignment wrapText="1"/>
    </xf>
    <xf numFmtId="10" fontId="49" fillId="0" borderId="4" xfId="70" applyNumberFormat="1" applyFont="1" applyFill="1" applyBorder="1" applyAlignment="1">
      <alignment wrapText="1"/>
    </xf>
    <xf numFmtId="164" fontId="16" fillId="0" borderId="4" xfId="69" applyFont="1" applyFill="1" applyBorder="1"/>
    <xf numFmtId="10" fontId="16" fillId="0" borderId="4" xfId="70" applyNumberFormat="1" applyFont="1" applyFill="1" applyBorder="1" applyAlignment="1">
      <alignment horizontal="center"/>
    </xf>
    <xf numFmtId="176" fontId="7" fillId="0" borderId="4" xfId="69" applyNumberFormat="1" applyFont="1" applyFill="1" applyBorder="1" applyAlignment="1">
      <alignment horizontal="center" vertical="center"/>
    </xf>
    <xf numFmtId="169" fontId="7" fillId="0" borderId="4" xfId="69" applyNumberFormat="1" applyFont="1" applyFill="1" applyBorder="1" applyAlignment="1">
      <alignment horizontal="center" vertical="center"/>
    </xf>
    <xf numFmtId="0" fontId="7" fillId="0" borderId="4" xfId="10" applyFont="1" applyFill="1" applyBorder="1" applyAlignment="1" applyProtection="1">
      <alignment horizontal="left" vertical="center" wrapText="1"/>
    </xf>
    <xf numFmtId="0" fontId="8" fillId="5" borderId="0" xfId="10" applyFont="1" applyFill="1" applyBorder="1" applyAlignment="1" applyProtection="1">
      <alignment horizontal="left" vertical="center" wrapText="1"/>
    </xf>
    <xf numFmtId="0" fontId="7" fillId="5" borderId="0" xfId="10" applyFont="1" applyFill="1" applyBorder="1" applyAlignment="1">
      <alignment horizontal="left" vertical="center"/>
    </xf>
    <xf numFmtId="0" fontId="7" fillId="0" borderId="0" xfId="10" applyFont="1" applyFill="1" applyBorder="1" applyAlignment="1" applyProtection="1">
      <alignment horizontal="left" vertical="center"/>
    </xf>
    <xf numFmtId="0" fontId="7" fillId="0" borderId="4" xfId="14" applyFont="1" applyFill="1" applyBorder="1" applyAlignment="1">
      <alignment horizontal="left" vertical="center" wrapText="1"/>
    </xf>
    <xf numFmtId="0" fontId="7" fillId="0" borderId="4" xfId="10" applyFont="1" applyFill="1" applyBorder="1" applyAlignment="1">
      <alignment horizontal="left" vertical="center"/>
    </xf>
    <xf numFmtId="0" fontId="8" fillId="0" borderId="0" xfId="10" applyFont="1" applyFill="1" applyBorder="1" applyAlignment="1">
      <alignment vertical="center"/>
    </xf>
    <xf numFmtId="164" fontId="7" fillId="0" borderId="4" xfId="69" applyFont="1" applyFill="1" applyBorder="1" applyAlignment="1">
      <alignment horizontal="left"/>
    </xf>
    <xf numFmtId="164" fontId="8" fillId="0" borderId="4" xfId="69" applyFont="1" applyFill="1" applyBorder="1" applyAlignment="1" applyProtection="1">
      <alignment horizontal="center" vertical="center" wrapText="1"/>
    </xf>
    <xf numFmtId="0" fontId="8" fillId="16" borderId="4" xfId="10" applyFont="1" applyFill="1" applyBorder="1" applyAlignment="1">
      <alignment horizontal="left"/>
    </xf>
    <xf numFmtId="0" fontId="7" fillId="14" borderId="4" xfId="10" applyFont="1" applyFill="1" applyBorder="1"/>
    <xf numFmtId="0" fontId="7" fillId="0" borderId="9" xfId="10" applyFont="1" applyBorder="1" applyAlignment="1">
      <alignment horizontal="center" vertical="center"/>
    </xf>
    <xf numFmtId="0" fontId="8" fillId="0" borderId="11" xfId="10" applyFont="1" applyBorder="1" applyAlignment="1">
      <alignment vertical="center" wrapText="1"/>
    </xf>
    <xf numFmtId="0" fontId="7" fillId="0" borderId="11" xfId="10" applyFont="1" applyBorder="1"/>
    <xf numFmtId="0" fontId="7" fillId="0" borderId="12" xfId="10" applyFont="1" applyBorder="1" applyAlignment="1">
      <alignment horizontal="center" vertical="center"/>
    </xf>
    <xf numFmtId="0" fontId="7" fillId="0" borderId="15" xfId="10" applyFont="1" applyBorder="1" applyAlignment="1">
      <alignment horizontal="center" vertical="center"/>
    </xf>
    <xf numFmtId="0" fontId="8" fillId="5" borderId="16" xfId="10" applyFont="1" applyFill="1" applyBorder="1" applyAlignment="1">
      <alignment horizontal="center"/>
    </xf>
    <xf numFmtId="0" fontId="8" fillId="5" borderId="16" xfId="10" applyFont="1" applyFill="1" applyBorder="1" applyAlignment="1">
      <alignment horizontal="center" vertical="center"/>
    </xf>
    <xf numFmtId="0" fontId="7" fillId="5" borderId="16" xfId="10" applyFont="1" applyFill="1" applyBorder="1" applyAlignment="1">
      <alignment horizontal="center"/>
    </xf>
    <xf numFmtId="0" fontId="7" fillId="17" borderId="4" xfId="10" applyFont="1" applyFill="1" applyBorder="1" applyAlignment="1">
      <alignment vertical="center"/>
    </xf>
    <xf numFmtId="0" fontId="7" fillId="17" borderId="4" xfId="10" applyFont="1" applyFill="1" applyBorder="1"/>
    <xf numFmtId="164" fontId="55" fillId="17" borderId="4" xfId="25" applyFont="1" applyFill="1" applyBorder="1" applyAlignment="1">
      <alignment horizontal="right" vertical="center" wrapText="1"/>
    </xf>
    <xf numFmtId="0" fontId="7" fillId="0" borderId="4" xfId="10" applyFont="1" applyFill="1" applyBorder="1" applyAlignment="1">
      <alignment horizontal="left" vertical="center" wrapText="1"/>
    </xf>
    <xf numFmtId="0" fontId="8" fillId="0" borderId="0" xfId="15" applyFont="1" applyAlignment="1">
      <alignment horizontal="center" vertical="center" wrapText="1"/>
    </xf>
    <xf numFmtId="0" fontId="8" fillId="16" borderId="4" xfId="10" applyFont="1" applyFill="1" applyBorder="1" applyAlignment="1">
      <alignment vertical="center" wrapText="1"/>
    </xf>
    <xf numFmtId="0" fontId="7" fillId="0" borderId="0" xfId="10" applyFont="1" applyAlignment="1">
      <alignment horizontal="center" vertical="center" wrapText="1"/>
    </xf>
    <xf numFmtId="14" fontId="7" fillId="0" borderId="0" xfId="10" applyNumberFormat="1" applyFont="1" applyAlignment="1">
      <alignment horizontal="center" vertical="center" wrapText="1"/>
    </xf>
    <xf numFmtId="10" fontId="7" fillId="0" borderId="0" xfId="40" applyNumberFormat="1" applyFont="1" applyFill="1" applyAlignment="1">
      <alignment horizontal="center" vertical="center"/>
    </xf>
    <xf numFmtId="10" fontId="7" fillId="0" borderId="0" xfId="10" applyNumberFormat="1" applyFont="1" applyFill="1" applyAlignment="1">
      <alignment horizontal="center" vertical="center"/>
    </xf>
    <xf numFmtId="43" fontId="8" fillId="0" borderId="4" xfId="29" applyNumberFormat="1" applyFont="1" applyFill="1" applyBorder="1" applyAlignment="1">
      <alignment vertical="center"/>
    </xf>
    <xf numFmtId="164" fontId="7" fillId="0" borderId="4" xfId="29" applyFont="1" applyFill="1" applyBorder="1" applyAlignment="1">
      <alignment horizontal="center" vertical="center"/>
    </xf>
    <xf numFmtId="0" fontId="7" fillId="0" borderId="0" xfId="10" applyFont="1" applyFill="1" applyBorder="1" applyAlignment="1">
      <alignment horizontal="left"/>
    </xf>
    <xf numFmtId="43" fontId="7" fillId="0" borderId="0" xfId="14" applyNumberFormat="1" applyFont="1" applyFill="1">
      <alignment vertical="center"/>
    </xf>
    <xf numFmtId="10" fontId="35" fillId="0" borderId="4" xfId="69" applyNumberFormat="1" applyFont="1" applyFill="1" applyBorder="1"/>
    <xf numFmtId="10" fontId="7" fillId="0" borderId="4" xfId="14" applyNumberFormat="1" applyFont="1" applyFill="1" applyBorder="1">
      <alignment vertical="center"/>
    </xf>
    <xf numFmtId="0" fontId="8" fillId="0" borderId="0" xfId="14" applyFont="1" applyFill="1">
      <alignment vertical="center"/>
    </xf>
    <xf numFmtId="2" fontId="7" fillId="0" borderId="4" xfId="14" applyNumberFormat="1" applyFont="1" applyBorder="1">
      <alignment vertical="center"/>
    </xf>
    <xf numFmtId="10" fontId="7" fillId="0" borderId="4" xfId="70" applyNumberFormat="1" applyFont="1" applyBorder="1" applyAlignment="1">
      <alignment vertical="center"/>
    </xf>
    <xf numFmtId="180" fontId="9" fillId="0" borderId="4" xfId="70" applyNumberFormat="1" applyFont="1" applyFill="1" applyBorder="1" applyAlignment="1">
      <alignment horizontal="center" vertical="center"/>
    </xf>
    <xf numFmtId="180" fontId="9" fillId="0" borderId="4" xfId="70" applyNumberFormat="1" applyFont="1" applyBorder="1" applyAlignment="1">
      <alignment horizontal="center" vertical="center"/>
    </xf>
    <xf numFmtId="180" fontId="9" fillId="0" borderId="4" xfId="70" applyNumberFormat="1" applyFont="1" applyBorder="1" applyAlignment="1">
      <alignment vertical="center"/>
    </xf>
    <xf numFmtId="10" fontId="7" fillId="5" borderId="4" xfId="70" applyNumberFormat="1" applyFont="1" applyFill="1" applyBorder="1" applyAlignment="1" applyProtection="1">
      <alignment horizontal="left"/>
    </xf>
    <xf numFmtId="10" fontId="7" fillId="0" borderId="4" xfId="70" applyNumberFormat="1" applyFont="1" applyFill="1" applyBorder="1" applyAlignment="1" applyProtection="1">
      <alignment vertical="center" wrapText="1"/>
    </xf>
    <xf numFmtId="10" fontId="7" fillId="0" borderId="4" xfId="70" applyNumberFormat="1" applyFont="1" applyBorder="1" applyAlignment="1">
      <alignment vertical="center" wrapText="1"/>
    </xf>
    <xf numFmtId="10" fontId="7" fillId="0" borderId="4" xfId="70" applyNumberFormat="1" applyFont="1" applyFill="1" applyBorder="1" applyAlignment="1" applyProtection="1">
      <alignment vertical="center"/>
    </xf>
    <xf numFmtId="10" fontId="7" fillId="0" borderId="0" xfId="70" applyNumberFormat="1" applyFont="1" applyAlignment="1">
      <alignment vertical="center"/>
    </xf>
    <xf numFmtId="0" fontId="7" fillId="0" borderId="0" xfId="14" applyNumberFormat="1" applyFont="1" applyAlignment="1">
      <alignment horizontal="center" vertical="center"/>
    </xf>
    <xf numFmtId="0" fontId="7" fillId="0" borderId="0" xfId="10" applyNumberFormat="1" applyFont="1" applyBorder="1" applyAlignment="1">
      <alignment horizontal="center"/>
    </xf>
    <xf numFmtId="0" fontId="8" fillId="4" borderId="4" xfId="14" applyNumberFormat="1" applyFont="1" applyFill="1" applyBorder="1" applyAlignment="1">
      <alignment horizontal="center" vertical="center" wrapText="1"/>
    </xf>
    <xf numFmtId="0" fontId="7" fillId="0" borderId="4" xfId="14" applyNumberFormat="1" applyFont="1" applyBorder="1" applyAlignment="1">
      <alignment horizontal="center" vertical="center"/>
    </xf>
    <xf numFmtId="0" fontId="7" fillId="0" borderId="4" xfId="14" applyNumberFormat="1" applyFont="1" applyFill="1" applyBorder="1" applyAlignment="1">
      <alignment horizontal="center" vertical="center"/>
    </xf>
    <xf numFmtId="0" fontId="8" fillId="0" borderId="4" xfId="14" applyNumberFormat="1" applyFont="1" applyBorder="1" applyAlignment="1">
      <alignment horizontal="center" vertical="center"/>
    </xf>
    <xf numFmtId="0" fontId="7" fillId="9" borderId="4" xfId="14" applyNumberFormat="1" applyFont="1" applyFill="1" applyBorder="1" applyAlignment="1">
      <alignment horizontal="center" vertical="center"/>
    </xf>
    <xf numFmtId="0" fontId="7" fillId="0" borderId="4" xfId="70" applyNumberFormat="1" applyFont="1" applyBorder="1" applyAlignment="1">
      <alignment horizontal="center" vertical="center"/>
    </xf>
    <xf numFmtId="0" fontId="8" fillId="0" borderId="4" xfId="14" applyNumberFormat="1" applyFont="1" applyFill="1" applyBorder="1" applyAlignment="1">
      <alignment horizontal="center" vertical="center"/>
    </xf>
    <xf numFmtId="0" fontId="7" fillId="0" borderId="0" xfId="14" applyNumberFormat="1" applyFont="1" applyBorder="1" applyAlignment="1">
      <alignment horizontal="center" vertical="center"/>
    </xf>
    <xf numFmtId="0" fontId="7" fillId="0" borderId="0" xfId="14" applyNumberFormat="1" applyFont="1">
      <alignment vertical="center"/>
    </xf>
    <xf numFmtId="43" fontId="7" fillId="0" borderId="0" xfId="10" applyNumberFormat="1" applyFont="1"/>
    <xf numFmtId="2" fontId="7" fillId="0" borderId="0" xfId="14" applyNumberFormat="1" applyFont="1">
      <alignment vertical="center"/>
    </xf>
    <xf numFmtId="43" fontId="9" fillId="0" borderId="0" xfId="14" applyNumberFormat="1" applyFont="1">
      <alignment vertical="center"/>
    </xf>
    <xf numFmtId="43" fontId="7" fillId="0" borderId="0" xfId="10" applyNumberFormat="1" applyFont="1" applyBorder="1"/>
    <xf numFmtId="164" fontId="7" fillId="0" borderId="0" xfId="14" applyNumberFormat="1" applyFont="1" applyFill="1">
      <alignment vertical="center"/>
    </xf>
    <xf numFmtId="164" fontId="7" fillId="0" borderId="0" xfId="69" applyFont="1" applyFill="1" applyAlignment="1">
      <alignment vertical="center"/>
    </xf>
    <xf numFmtId="0" fontId="31" fillId="0" borderId="4" xfId="10" applyFont="1" applyFill="1" applyBorder="1" applyAlignment="1">
      <alignment horizontal="center"/>
    </xf>
    <xf numFmtId="0" fontId="30" fillId="0" borderId="4" xfId="10" applyFont="1" applyFill="1" applyBorder="1" applyAlignment="1">
      <alignment horizontal="center"/>
    </xf>
    <xf numFmtId="0" fontId="31" fillId="0" borderId="4" xfId="10" applyFont="1" applyFill="1" applyBorder="1" applyAlignment="1"/>
    <xf numFmtId="0" fontId="30" fillId="7" borderId="4" xfId="10" applyFont="1" applyFill="1" applyBorder="1" applyAlignment="1">
      <alignment horizontal="center" vertical="center" wrapText="1"/>
    </xf>
    <xf numFmtId="164" fontId="7" fillId="0" borderId="0" xfId="69" applyFont="1" applyFill="1"/>
    <xf numFmtId="43" fontId="7" fillId="0" borderId="0" xfId="10" applyNumberFormat="1" applyFont="1" applyFill="1"/>
    <xf numFmtId="0" fontId="8" fillId="0" borderId="7" xfId="14" applyFont="1" applyFill="1" applyBorder="1" applyAlignment="1">
      <alignment horizontal="center" vertical="center"/>
    </xf>
    <xf numFmtId="0" fontId="7" fillId="0" borderId="4" xfId="10" applyFont="1" applyFill="1" applyBorder="1" applyAlignment="1"/>
    <xf numFmtId="164" fontId="51" fillId="0" borderId="4" xfId="69" applyFont="1" applyFill="1" applyBorder="1"/>
    <xf numFmtId="10" fontId="51" fillId="0" borderId="4" xfId="0" applyNumberFormat="1" applyFont="1" applyFill="1" applyBorder="1"/>
    <xf numFmtId="0" fontId="8" fillId="0" borderId="4" xfId="10" applyFont="1" applyFill="1" applyBorder="1" applyAlignment="1"/>
    <xf numFmtId="9" fontId="7" fillId="0" borderId="4" xfId="14" applyNumberFormat="1" applyFont="1" applyFill="1" applyBorder="1">
      <alignment vertical="center"/>
    </xf>
    <xf numFmtId="0" fontId="8" fillId="4" borderId="4" xfId="14" applyFont="1" applyFill="1" applyBorder="1" applyAlignment="1">
      <alignment horizontal="center" vertical="center" wrapText="1"/>
    </xf>
    <xf numFmtId="0" fontId="8" fillId="0" borderId="0" xfId="10" applyFont="1" applyBorder="1" applyAlignment="1">
      <alignment horizontal="center" vertical="center"/>
    </xf>
    <xf numFmtId="0" fontId="8" fillId="0" borderId="0" xfId="14" applyFont="1" applyAlignment="1">
      <alignment horizontal="center" vertical="center"/>
    </xf>
    <xf numFmtId="0" fontId="8" fillId="0" borderId="0" xfId="10" applyFont="1" applyFill="1" applyBorder="1" applyAlignment="1">
      <alignment horizontal="center" vertical="center"/>
    </xf>
    <xf numFmtId="0" fontId="8" fillId="0" borderId="0" xfId="10" applyFont="1" applyAlignment="1">
      <alignment horizontal="left"/>
    </xf>
    <xf numFmtId="0" fontId="8" fillId="6" borderId="0" xfId="14" applyFont="1" applyFill="1" applyBorder="1" applyAlignment="1">
      <alignment horizontal="center" vertical="center"/>
    </xf>
    <xf numFmtId="0" fontId="8" fillId="6" borderId="0" xfId="10" applyFont="1" applyFill="1" applyBorder="1" applyAlignment="1">
      <alignment horizontal="center" vertical="center"/>
    </xf>
    <xf numFmtId="164" fontId="7" fillId="0" borderId="4" xfId="69" applyFont="1" applyFill="1" applyBorder="1" applyAlignment="1">
      <alignment horizontal="center" vertical="center"/>
    </xf>
    <xf numFmtId="181" fontId="16" fillId="0" borderId="4" xfId="70" applyNumberFormat="1" applyFont="1" applyFill="1" applyBorder="1" applyAlignment="1"/>
    <xf numFmtId="10" fontId="16" fillId="0" borderId="4" xfId="70" applyNumberFormat="1" applyFont="1" applyBorder="1" applyAlignment="1">
      <alignment vertical="top"/>
    </xf>
    <xf numFmtId="181" fontId="16" fillId="0" borderId="4" xfId="70" applyNumberFormat="1" applyFont="1" applyFill="1" applyBorder="1" applyAlignment="1">
      <alignment wrapText="1"/>
    </xf>
    <xf numFmtId="181" fontId="49" fillId="0" borderId="4" xfId="70" applyNumberFormat="1" applyFont="1" applyFill="1" applyBorder="1" applyAlignment="1">
      <alignment wrapText="1"/>
    </xf>
    <xf numFmtId="181" fontId="16" fillId="0" borderId="4" xfId="70" applyNumberFormat="1" applyFont="1" applyFill="1" applyBorder="1" applyAlignment="1">
      <alignment vertical="top"/>
    </xf>
    <xf numFmtId="10" fontId="16" fillId="0" borderId="4" xfId="40" applyNumberFormat="1" applyFont="1" applyFill="1" applyBorder="1" applyAlignment="1"/>
    <xf numFmtId="164" fontId="7" fillId="0" borderId="4" xfId="29" quotePrefix="1" applyFont="1" applyFill="1" applyBorder="1" applyAlignment="1">
      <alignment horizontal="center" vertical="center"/>
    </xf>
    <xf numFmtId="169" fontId="16" fillId="0" borderId="4" xfId="29" quotePrefix="1" applyNumberFormat="1" applyFont="1" applyFill="1" applyBorder="1" applyAlignment="1">
      <alignment vertical="center"/>
    </xf>
    <xf numFmtId="164" fontId="16" fillId="0" borderId="4" xfId="29" applyFont="1" applyFill="1" applyBorder="1" applyAlignment="1">
      <alignment vertical="center"/>
    </xf>
    <xf numFmtId="164" fontId="7" fillId="0" borderId="4" xfId="69" applyFont="1" applyFill="1" applyBorder="1" applyAlignment="1">
      <alignment horizontal="left" vertical="center"/>
    </xf>
    <xf numFmtId="164" fontId="7" fillId="0" borderId="4" xfId="14" applyNumberFormat="1" applyFont="1" applyFill="1" applyBorder="1" applyAlignment="1">
      <alignment horizontal="left" vertical="center"/>
    </xf>
    <xf numFmtId="0" fontId="46" fillId="0" borderId="0" xfId="14" applyFont="1" applyFill="1">
      <alignment vertical="center"/>
    </xf>
    <xf numFmtId="43" fontId="46" fillId="0" borderId="0" xfId="14" applyNumberFormat="1" applyFont="1" applyFill="1">
      <alignment vertical="center"/>
    </xf>
    <xf numFmtId="164" fontId="46" fillId="0" borderId="0" xfId="14" applyNumberFormat="1" applyFont="1" applyFill="1">
      <alignment vertical="center"/>
    </xf>
    <xf numFmtId="0" fontId="30" fillId="0" borderId="4" xfId="10" applyFont="1" applyFill="1" applyBorder="1" applyAlignment="1">
      <alignment horizontal="center" vertical="center"/>
    </xf>
    <xf numFmtId="0" fontId="30" fillId="0" borderId="4" xfId="10" applyFont="1" applyFill="1" applyBorder="1" applyAlignment="1">
      <alignment vertical="center"/>
    </xf>
    <xf numFmtId="164" fontId="30" fillId="0" borderId="4" xfId="69" applyFont="1" applyFill="1" applyBorder="1" applyAlignment="1">
      <alignment vertical="center"/>
    </xf>
    <xf numFmtId="164" fontId="30" fillId="0" borderId="4" xfId="10" applyNumberFormat="1" applyFont="1" applyFill="1" applyBorder="1" applyAlignment="1">
      <alignment horizontal="center"/>
    </xf>
    <xf numFmtId="164" fontId="31" fillId="0" borderId="4" xfId="10" applyNumberFormat="1" applyFont="1" applyFill="1" applyBorder="1" applyAlignment="1">
      <alignment horizontal="center"/>
    </xf>
    <xf numFmtId="0" fontId="31" fillId="0" borderId="4" xfId="10" applyFont="1" applyFill="1" applyBorder="1" applyAlignment="1">
      <alignment vertical="center"/>
    </xf>
    <xf numFmtId="0" fontId="31" fillId="0" borderId="0" xfId="10" applyFont="1" applyFill="1" applyAlignment="1">
      <alignment vertical="center"/>
    </xf>
    <xf numFmtId="0" fontId="31" fillId="0" borderId="4" xfId="10" applyFont="1" applyFill="1" applyBorder="1" applyAlignment="1">
      <alignment horizontal="center" vertical="center"/>
    </xf>
    <xf numFmtId="0" fontId="7" fillId="0" borderId="4" xfId="14" applyFont="1" applyFill="1" applyBorder="1" applyAlignment="1">
      <alignment horizontal="center"/>
    </xf>
    <xf numFmtId="0" fontId="30" fillId="0" borderId="4" xfId="10" applyFont="1" applyFill="1" applyBorder="1" applyAlignment="1"/>
    <xf numFmtId="164" fontId="30" fillId="0" borderId="4" xfId="69" applyFont="1" applyFill="1" applyBorder="1" applyAlignment="1"/>
    <xf numFmtId="174" fontId="7" fillId="0" borderId="4" xfId="14" applyNumberFormat="1" applyFont="1" applyFill="1" applyBorder="1" applyAlignment="1">
      <alignment horizontal="center"/>
    </xf>
    <xf numFmtId="177" fontId="7" fillId="0" borderId="4" xfId="69" applyNumberFormat="1" applyFont="1" applyFill="1" applyBorder="1" applyAlignment="1">
      <alignment horizontal="center"/>
    </xf>
    <xf numFmtId="0" fontId="31" fillId="0" borderId="0" xfId="10" applyFont="1" applyFill="1" applyAlignment="1"/>
    <xf numFmtId="0" fontId="31" fillId="0" borderId="0" xfId="10" applyFont="1" applyFill="1"/>
    <xf numFmtId="164" fontId="7" fillId="0" borderId="4" xfId="69" applyFont="1" applyFill="1" applyBorder="1" applyAlignment="1">
      <alignment horizontal="center" vertical="center"/>
    </xf>
    <xf numFmtId="0" fontId="51" fillId="0" borderId="4" xfId="71" applyFont="1" applyBorder="1" applyAlignment="1">
      <alignment horizontal="center"/>
    </xf>
    <xf numFmtId="0" fontId="52" fillId="0" borderId="4" xfId="71" applyFont="1" applyBorder="1" applyAlignment="1">
      <alignment horizontal="center"/>
    </xf>
    <xf numFmtId="10" fontId="51" fillId="0" borderId="4" xfId="70" applyNumberFormat="1" applyFont="1" applyBorder="1"/>
    <xf numFmtId="0" fontId="7" fillId="0" borderId="4" xfId="0" applyFont="1" applyFill="1" applyBorder="1" applyAlignment="1">
      <alignment vertical="top"/>
    </xf>
    <xf numFmtId="10" fontId="7" fillId="14" borderId="0" xfId="40" applyNumberFormat="1" applyFont="1" applyFill="1" applyBorder="1"/>
    <xf numFmtId="164" fontId="7" fillId="0" borderId="4" xfId="29" applyFont="1" applyBorder="1" applyAlignment="1">
      <alignment horizontal="left" vertical="top"/>
    </xf>
    <xf numFmtId="0" fontId="8"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0" fontId="8" fillId="4" borderId="4" xfId="10" applyFont="1" applyFill="1" applyBorder="1" applyAlignment="1">
      <alignment horizontal="center" vertical="center" wrapText="1"/>
    </xf>
    <xf numFmtId="0" fontId="17" fillId="0" borderId="0" xfId="10" applyAlignment="1">
      <alignment horizontal="center" vertical="center"/>
    </xf>
    <xf numFmtId="0" fontId="8" fillId="0" borderId="0" xfId="14" applyFont="1" applyFill="1" applyBorder="1" applyAlignment="1">
      <alignment horizontal="center" vertical="center" wrapText="1"/>
    </xf>
    <xf numFmtId="164" fontId="7" fillId="0" borderId="4" xfId="69" applyFont="1" applyFill="1" applyBorder="1" applyAlignment="1">
      <alignment horizontal="center" vertical="center"/>
    </xf>
    <xf numFmtId="0" fontId="8" fillId="0" borderId="0" xfId="14" applyFont="1" applyFill="1" applyBorder="1" applyAlignment="1">
      <alignment horizontal="center" vertical="center"/>
    </xf>
    <xf numFmtId="0" fontId="8" fillId="4" borderId="4" xfId="31" applyFont="1" applyFill="1" applyBorder="1" applyAlignment="1">
      <alignment horizontal="center" vertical="center" wrapText="1"/>
    </xf>
    <xf numFmtId="0" fontId="12" fillId="4" borderId="4" xfId="14" applyFont="1" applyFill="1" applyBorder="1" applyAlignment="1">
      <alignment horizontal="center" vertical="center" wrapText="1"/>
    </xf>
    <xf numFmtId="0" fontId="7" fillId="0" borderId="4" xfId="69" applyNumberFormat="1" applyFont="1" applyFill="1" applyBorder="1" applyAlignment="1">
      <alignment vertical="center"/>
    </xf>
    <xf numFmtId="164" fontId="7" fillId="0" borderId="0" xfId="69" applyFont="1" applyFill="1" applyBorder="1"/>
    <xf numFmtId="0" fontId="7" fillId="19" borderId="4" xfId="10" applyFont="1" applyFill="1" applyBorder="1" applyAlignment="1" applyProtection="1">
      <alignment horizontal="left"/>
    </xf>
    <xf numFmtId="164" fontId="7" fillId="19" borderId="4" xfId="69" applyFont="1" applyFill="1" applyBorder="1" applyAlignment="1" applyProtection="1">
      <alignment horizontal="left"/>
    </xf>
    <xf numFmtId="164" fontId="7" fillId="19" borderId="4" xfId="69" applyFont="1" applyFill="1" applyBorder="1" applyAlignment="1">
      <alignment vertical="center"/>
    </xf>
    <xf numFmtId="164" fontId="35" fillId="19" borderId="4" xfId="69" applyFont="1" applyFill="1" applyBorder="1"/>
    <xf numFmtId="176" fontId="13" fillId="14" borderId="0" xfId="69" applyNumberFormat="1" applyFont="1" applyFill="1" applyAlignment="1">
      <alignment horizontal="left" vertical="center"/>
    </xf>
    <xf numFmtId="164" fontId="58" fillId="0" borderId="4" xfId="69" applyFont="1" applyBorder="1" applyAlignment="1">
      <alignment vertical="top" wrapText="1"/>
    </xf>
    <xf numFmtId="0" fontId="8" fillId="4" borderId="5" xfId="14" applyFont="1" applyFill="1" applyBorder="1" applyAlignment="1">
      <alignment vertical="center" wrapText="1"/>
    </xf>
    <xf numFmtId="0" fontId="58" fillId="0" borderId="4" xfId="69" applyNumberFormat="1" applyFont="1" applyBorder="1" applyAlignment="1">
      <alignment vertical="center"/>
    </xf>
    <xf numFmtId="0" fontId="7" fillId="0" borderId="0" xfId="14" applyFont="1" applyFill="1" applyBorder="1" applyAlignment="1">
      <alignment horizontal="center" vertical="center"/>
    </xf>
    <xf numFmtId="164" fontId="8" fillId="0" borderId="0" xfId="29" applyFont="1" applyFill="1" applyBorder="1" applyAlignment="1">
      <alignment vertical="center"/>
    </xf>
    <xf numFmtId="2" fontId="7" fillId="0" borderId="0" xfId="14" applyNumberFormat="1" applyFont="1" applyFill="1" applyBorder="1">
      <alignment vertical="center"/>
    </xf>
    <xf numFmtId="0" fontId="8" fillId="0" borderId="0" xfId="14" applyFont="1" applyFill="1" applyBorder="1">
      <alignment vertical="center"/>
    </xf>
    <xf numFmtId="164" fontId="7" fillId="0" borderId="0" xfId="29" applyFont="1" applyFill="1" applyBorder="1" applyAlignment="1">
      <alignment vertical="center"/>
    </xf>
    <xf numFmtId="0" fontId="7" fillId="0" borderId="0" xfId="14" applyFont="1" applyFill="1" applyBorder="1" applyAlignment="1">
      <alignment vertical="top" wrapText="1"/>
    </xf>
    <xf numFmtId="164" fontId="8" fillId="0" borderId="0" xfId="69" applyFont="1" applyFill="1" applyBorder="1" applyAlignment="1">
      <alignment vertical="center"/>
    </xf>
    <xf numFmtId="0" fontId="8" fillId="0" borderId="0" xfId="14" applyFont="1" applyFill="1" applyBorder="1" applyAlignment="1">
      <alignment horizontal="center" vertical="top" wrapText="1"/>
    </xf>
    <xf numFmtId="0" fontId="8" fillId="0" borderId="0" xfId="14" applyFont="1" applyFill="1" applyBorder="1" applyAlignment="1">
      <alignment vertical="top" wrapText="1"/>
    </xf>
    <xf numFmtId="0" fontId="7" fillId="0" borderId="0" xfId="14" applyFont="1" applyFill="1" applyBorder="1" applyAlignment="1">
      <alignment horizontal="center" vertical="top" wrapText="1"/>
    </xf>
    <xf numFmtId="164" fontId="7" fillId="0" borderId="0" xfId="14" applyNumberFormat="1" applyFont="1" applyFill="1" applyBorder="1">
      <alignment vertical="center"/>
    </xf>
    <xf numFmtId="164" fontId="8" fillId="0" borderId="0" xfId="14" applyNumberFormat="1" applyFont="1" applyFill="1" applyBorder="1">
      <alignment vertical="center"/>
    </xf>
    <xf numFmtId="0" fontId="8" fillId="0" borderId="0" xfId="14" applyFont="1" applyFill="1" applyBorder="1" applyAlignment="1">
      <alignment horizontal="right" vertical="center"/>
    </xf>
    <xf numFmtId="0" fontId="8" fillId="0" borderId="0" xfId="14" applyFont="1" applyFill="1" applyBorder="1" applyAlignment="1">
      <alignment vertical="center"/>
    </xf>
    <xf numFmtId="0" fontId="7" fillId="0" borderId="0" xfId="15" applyFont="1" applyFill="1" applyBorder="1" applyAlignment="1">
      <alignment vertical="center"/>
    </xf>
    <xf numFmtId="0" fontId="7" fillId="0" borderId="0" xfId="14" applyFont="1" applyFill="1" applyBorder="1" applyAlignment="1">
      <alignment vertical="center" wrapText="1"/>
    </xf>
    <xf numFmtId="164" fontId="7" fillId="14" borderId="4" xfId="69" applyFont="1" applyFill="1" applyBorder="1"/>
    <xf numFmtId="10" fontId="7" fillId="0" borderId="0" xfId="70" applyNumberFormat="1" applyFont="1" applyFill="1" applyBorder="1" applyAlignment="1">
      <alignment horizontal="center" vertical="center" wrapText="1"/>
    </xf>
    <xf numFmtId="10" fontId="7" fillId="0" borderId="0" xfId="70" applyNumberFormat="1" applyFont="1" applyFill="1" applyBorder="1" applyAlignment="1">
      <alignment horizontal="center" vertical="center"/>
    </xf>
    <xf numFmtId="164" fontId="8" fillId="0" borderId="0" xfId="69" applyFont="1" applyFill="1" applyBorder="1"/>
    <xf numFmtId="10" fontId="7" fillId="0" borderId="0" xfId="70" applyNumberFormat="1" applyFont="1" applyFill="1" applyBorder="1" applyAlignment="1">
      <alignment vertical="center"/>
    </xf>
    <xf numFmtId="10" fontId="7" fillId="0" borderId="0" xfId="70" applyNumberFormat="1" applyFont="1" applyFill="1" applyBorder="1"/>
    <xf numFmtId="0" fontId="8" fillId="4" borderId="4" xfId="14" applyFont="1" applyFill="1" applyBorder="1" applyAlignment="1">
      <alignment vertical="center" wrapText="1"/>
    </xf>
    <xf numFmtId="0" fontId="8" fillId="0" borderId="4" xfId="69" applyNumberFormat="1" applyFont="1" applyFill="1" applyBorder="1" applyAlignment="1">
      <alignment horizontal="center" vertical="center"/>
    </xf>
    <xf numFmtId="0" fontId="7" fillId="0" borderId="4" xfId="69" applyNumberFormat="1" applyFont="1" applyFill="1" applyBorder="1" applyAlignment="1">
      <alignment horizontal="center" vertical="center"/>
    </xf>
    <xf numFmtId="2" fontId="7" fillId="0" borderId="4" xfId="14" applyNumberFormat="1" applyFont="1" applyFill="1" applyBorder="1" applyAlignment="1">
      <alignment horizontal="center" vertical="center" wrapText="1"/>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xf>
    <xf numFmtId="0" fontId="8" fillId="4" borderId="5"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0" fontId="8" fillId="4" borderId="4" xfId="10" applyFont="1" applyFill="1" applyBorder="1" applyAlignment="1">
      <alignment horizontal="center" vertical="center" wrapText="1"/>
    </xf>
    <xf numFmtId="0" fontId="8" fillId="4" borderId="4" xfId="10" applyFont="1" applyFill="1" applyBorder="1" applyAlignment="1">
      <alignment horizontal="center" vertical="center"/>
    </xf>
    <xf numFmtId="164" fontId="7" fillId="0" borderId="4" xfId="69" applyFont="1" applyFill="1" applyBorder="1" applyAlignment="1">
      <alignment horizontal="center" vertical="center"/>
    </xf>
    <xf numFmtId="0" fontId="40" fillId="0" borderId="0" xfId="14" applyFont="1" applyAlignment="1">
      <alignment horizontal="left" vertical="center"/>
    </xf>
    <xf numFmtId="164" fontId="16" fillId="0" borderId="4" xfId="69" applyFont="1" applyFill="1" applyBorder="1" applyAlignment="1">
      <alignment horizontal="center" vertical="center"/>
    </xf>
    <xf numFmtId="178" fontId="7" fillId="0" borderId="4" xfId="69" applyNumberFormat="1" applyFont="1" applyFill="1" applyBorder="1" applyAlignment="1">
      <alignment horizontal="center" vertical="center"/>
    </xf>
    <xf numFmtId="0" fontId="16" fillId="0" borderId="4" xfId="14" applyFont="1" applyFill="1" applyBorder="1">
      <alignment vertical="center"/>
    </xf>
    <xf numFmtId="0" fontId="7" fillId="0" borderId="4" xfId="69" applyNumberFormat="1" applyFont="1" applyFill="1" applyBorder="1" applyAlignment="1">
      <alignment horizontal="center" vertical="center" wrapText="1"/>
    </xf>
    <xf numFmtId="0" fontId="26" fillId="0" borderId="0" xfId="10" applyFont="1" applyFill="1" applyBorder="1" applyAlignment="1">
      <alignment vertical="top" wrapText="1"/>
    </xf>
    <xf numFmtId="10" fontId="8" fillId="0" borderId="4" xfId="70" applyNumberFormat="1" applyFont="1" applyFill="1" applyBorder="1" applyAlignment="1">
      <alignment vertical="center" wrapText="1"/>
    </xf>
    <xf numFmtId="164" fontId="8" fillId="0" borderId="4" xfId="69" applyFont="1" applyFill="1" applyBorder="1" applyAlignment="1">
      <alignment vertical="center" wrapText="1"/>
    </xf>
    <xf numFmtId="0" fontId="58" fillId="0" borderId="4" xfId="14"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vertical="center"/>
    </xf>
    <xf numFmtId="164" fontId="9" fillId="0" borderId="0" xfId="69" applyFont="1" applyFill="1" applyBorder="1" applyAlignment="1">
      <alignment horizontal="center" vertical="center"/>
    </xf>
    <xf numFmtId="164" fontId="10" fillId="0" borderId="0" xfId="69" applyFont="1" applyFill="1" applyBorder="1" applyAlignment="1">
      <alignment horizontal="center" vertical="center"/>
    </xf>
    <xf numFmtId="164" fontId="8" fillId="0" borderId="4" xfId="29" applyFont="1" applyFill="1" applyBorder="1"/>
    <xf numFmtId="43" fontId="8" fillId="0" borderId="4" xfId="29" applyNumberFormat="1" applyFont="1" applyFill="1" applyBorder="1"/>
    <xf numFmtId="164" fontId="7" fillId="10" borderId="4" xfId="69" applyFont="1" applyFill="1" applyBorder="1" applyAlignment="1">
      <alignment vertical="center"/>
    </xf>
    <xf numFmtId="0" fontId="7" fillId="0" borderId="0" xfId="10" applyFont="1" applyFill="1" applyBorder="1" applyAlignment="1">
      <alignment horizontal="left" vertical="center"/>
    </xf>
    <xf numFmtId="0" fontId="8" fillId="0" borderId="0" xfId="14" applyFont="1" applyFill="1" applyAlignment="1">
      <alignment horizontal="right" vertical="center"/>
    </xf>
    <xf numFmtId="0" fontId="8" fillId="0" borderId="0" xfId="10" applyFont="1" applyFill="1" applyAlignment="1">
      <alignment horizontal="left"/>
    </xf>
    <xf numFmtId="0" fontId="7" fillId="0" borderId="0" xfId="10" applyFont="1" applyFill="1" applyAlignment="1">
      <alignment horizontal="center"/>
    </xf>
    <xf numFmtId="10" fontId="7" fillId="14" borderId="0" xfId="40" applyNumberFormat="1" applyFont="1" applyFill="1" applyAlignment="1">
      <alignment horizontal="center" vertical="center"/>
    </xf>
    <xf numFmtId="10" fontId="7" fillId="14" borderId="0" xfId="10" applyNumberFormat="1" applyFont="1" applyFill="1" applyAlignment="1">
      <alignment horizontal="center" vertical="center"/>
    </xf>
    <xf numFmtId="0" fontId="7" fillId="0" borderId="4" xfId="14" applyNumberFormat="1" applyFont="1" applyFill="1" applyBorder="1">
      <alignment vertical="center"/>
    </xf>
    <xf numFmtId="0" fontId="8" fillId="0" borderId="0" xfId="10" applyFont="1" applyFill="1" applyBorder="1" applyAlignment="1">
      <alignment horizontal="left"/>
    </xf>
    <xf numFmtId="10" fontId="7" fillId="14" borderId="0" xfId="10" applyNumberFormat="1" applyFont="1" applyFill="1" applyAlignment="1">
      <alignment horizontal="center" vertical="top"/>
    </xf>
    <xf numFmtId="10" fontId="7" fillId="0" borderId="4" xfId="14" applyNumberFormat="1" applyFont="1" applyFill="1" applyBorder="1" applyAlignment="1">
      <alignment vertical="center"/>
    </xf>
    <xf numFmtId="177" fontId="7" fillId="0" borderId="4" xfId="29" applyNumberFormat="1" applyFont="1" applyFill="1" applyBorder="1" applyAlignment="1">
      <alignment vertical="center"/>
    </xf>
    <xf numFmtId="164" fontId="50" fillId="0" borderId="4" xfId="72" applyFont="1" applyFill="1" applyBorder="1" applyAlignment="1">
      <alignment vertical="center"/>
    </xf>
    <xf numFmtId="0" fontId="8" fillId="20" borderId="4" xfId="14" applyFont="1" applyFill="1" applyBorder="1">
      <alignment vertical="center"/>
    </xf>
    <xf numFmtId="0" fontId="8" fillId="20" borderId="4" xfId="14" applyFont="1" applyFill="1" applyBorder="1" applyAlignment="1">
      <alignment vertical="center" wrapText="1"/>
    </xf>
    <xf numFmtId="0" fontId="53" fillId="0" borderId="4" xfId="71" applyFont="1" applyBorder="1" applyAlignment="1">
      <alignment horizontal="left" vertical="center"/>
    </xf>
    <xf numFmtId="0" fontId="59" fillId="0" borderId="0" xfId="0" applyFont="1" applyAlignment="1">
      <alignment horizontal="left"/>
    </xf>
    <xf numFmtId="0" fontId="53" fillId="0" borderId="4" xfId="71" applyFont="1" applyBorder="1" applyAlignment="1">
      <alignment horizontal="left" vertical="center" wrapText="1"/>
    </xf>
    <xf numFmtId="0" fontId="60" fillId="0" borderId="4" xfId="71" applyFont="1" applyBorder="1" applyAlignment="1">
      <alignment horizontal="left" vertical="center" wrapText="1"/>
    </xf>
    <xf numFmtId="0" fontId="54" fillId="0" borderId="4" xfId="71" applyFont="1" applyBorder="1" applyAlignment="1">
      <alignment horizontal="left" vertical="center" wrapText="1"/>
    </xf>
    <xf numFmtId="0" fontId="52" fillId="0" borderId="4" xfId="0" applyFont="1" applyFill="1" applyBorder="1" applyAlignment="1">
      <alignment horizontal="center"/>
    </xf>
    <xf numFmtId="0" fontId="51" fillId="0" borderId="0" xfId="0" applyFont="1" applyFill="1"/>
    <xf numFmtId="0" fontId="51" fillId="0" borderId="4" xfId="0" applyFont="1" applyFill="1" applyBorder="1" applyAlignment="1">
      <alignment horizontal="center"/>
    </xf>
    <xf numFmtId="164" fontId="52" fillId="0" borderId="4" xfId="69" applyFont="1" applyFill="1" applyBorder="1"/>
    <xf numFmtId="0" fontId="51" fillId="0" borderId="0" xfId="0" applyFont="1" applyFill="1" applyAlignment="1">
      <alignment horizontal="left"/>
    </xf>
    <xf numFmtId="0" fontId="52" fillId="12" borderId="4" xfId="0" applyFont="1" applyFill="1" applyBorder="1" applyAlignment="1">
      <alignment horizontal="left"/>
    </xf>
    <xf numFmtId="0" fontId="52" fillId="12" borderId="4" xfId="0" applyFont="1" applyFill="1" applyBorder="1" applyAlignment="1">
      <alignment horizontal="center"/>
    </xf>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164" fontId="7" fillId="0" borderId="4" xfId="69" applyFont="1" applyFill="1" applyBorder="1" applyAlignment="1">
      <alignment horizontal="center" vertical="center"/>
    </xf>
    <xf numFmtId="0" fontId="16" fillId="21" borderId="4" xfId="10" applyFont="1" applyFill="1" applyBorder="1" applyAlignment="1" applyProtection="1">
      <alignment horizontal="left"/>
    </xf>
    <xf numFmtId="0" fontId="12" fillId="21" borderId="4" xfId="10" applyFont="1" applyFill="1" applyBorder="1" applyAlignment="1">
      <alignment horizontal="center" vertical="center"/>
    </xf>
    <xf numFmtId="164" fontId="7" fillId="21" borderId="4" xfId="69" applyFont="1" applyFill="1" applyBorder="1" applyAlignment="1">
      <alignment horizontal="center" vertical="center"/>
    </xf>
    <xf numFmtId="164" fontId="7" fillId="21" borderId="4" xfId="69" applyFont="1" applyFill="1" applyBorder="1"/>
    <xf numFmtId="0" fontId="35" fillId="19" borderId="4" xfId="69" applyNumberFormat="1" applyFont="1" applyFill="1" applyBorder="1"/>
    <xf numFmtId="10" fontId="7" fillId="21" borderId="4" xfId="70" applyNumberFormat="1" applyFont="1" applyFill="1" applyBorder="1" applyAlignment="1" applyProtection="1">
      <alignment horizontal="left"/>
    </xf>
    <xf numFmtId="10" fontId="7" fillId="21" borderId="4" xfId="70" applyNumberFormat="1" applyFont="1" applyFill="1" applyBorder="1" applyAlignment="1" applyProtection="1">
      <alignment vertical="center"/>
    </xf>
    <xf numFmtId="0" fontId="8" fillId="4" borderId="4" xfId="10" applyFont="1" applyFill="1" applyBorder="1" applyAlignment="1">
      <alignment horizontal="center" vertical="center" wrapText="1"/>
    </xf>
    <xf numFmtId="10" fontId="9" fillId="0" borderId="4" xfId="70" applyNumberFormat="1" applyFont="1" applyFill="1" applyBorder="1" applyAlignment="1">
      <alignment horizontal="center" vertical="center"/>
    </xf>
    <xf numFmtId="4" fontId="7" fillId="0" borderId="4" xfId="14" applyNumberFormat="1" applyFont="1" applyFill="1" applyBorder="1">
      <alignment vertical="center"/>
    </xf>
    <xf numFmtId="0" fontId="7" fillId="0" borderId="4" xfId="69" applyNumberFormat="1" applyFont="1" applyBorder="1" applyAlignment="1">
      <alignment horizontal="left" vertical="top"/>
    </xf>
    <xf numFmtId="43" fontId="35" fillId="19" borderId="4" xfId="69" applyNumberFormat="1" applyFont="1" applyFill="1" applyBorder="1"/>
    <xf numFmtId="0" fontId="51" fillId="21" borderId="0" xfId="0" applyFont="1" applyFill="1"/>
    <xf numFmtId="183" fontId="7" fillId="0" borderId="4" xfId="69" applyNumberFormat="1" applyFont="1" applyFill="1" applyBorder="1" applyAlignment="1">
      <alignment horizontal="left" vertical="top"/>
    </xf>
    <xf numFmtId="43" fontId="31" fillId="0" borderId="4" xfId="73" applyFont="1" applyBorder="1"/>
    <xf numFmtId="9" fontId="8" fillId="0" borderId="4" xfId="69" applyNumberFormat="1" applyFont="1" applyFill="1" applyBorder="1" applyAlignment="1">
      <alignment vertical="center"/>
    </xf>
    <xf numFmtId="0" fontId="0" fillId="0" borderId="5" xfId="0" applyBorder="1"/>
    <xf numFmtId="0" fontId="0" fillId="0" borderId="4" xfId="0" applyBorder="1"/>
    <xf numFmtId="164" fontId="7" fillId="0" borderId="8" xfId="69" applyFont="1" applyFill="1" applyBorder="1" applyAlignment="1">
      <alignment vertical="top" wrapText="1"/>
    </xf>
    <xf numFmtId="0" fontId="7" fillId="0" borderId="7" xfId="14" applyFont="1" applyFill="1" applyBorder="1" applyAlignment="1">
      <alignment vertical="top" wrapText="1"/>
    </xf>
    <xf numFmtId="164" fontId="7" fillId="0" borderId="4" xfId="69" applyFont="1" applyFill="1" applyBorder="1" applyAlignment="1">
      <alignment horizontal="center" vertical="center"/>
    </xf>
    <xf numFmtId="164" fontId="7" fillId="0" borderId="4" xfId="69" applyFont="1" applyFill="1" applyBorder="1" applyAlignment="1">
      <alignment horizontal="center" vertical="center"/>
    </xf>
    <xf numFmtId="0" fontId="7" fillId="0" borderId="4" xfId="10" applyFont="1" applyFill="1" applyBorder="1" applyAlignment="1">
      <alignment vertical="top" wrapText="1"/>
    </xf>
    <xf numFmtId="0" fontId="7" fillId="0" borderId="4" xfId="10" applyFont="1" applyFill="1" applyBorder="1" applyAlignment="1" applyProtection="1">
      <alignment vertical="top" wrapText="1"/>
    </xf>
    <xf numFmtId="0" fontId="7" fillId="0" borderId="4" xfId="10" applyFont="1" applyFill="1" applyBorder="1" applyAlignment="1" applyProtection="1">
      <alignment horizontal="left" vertical="top" wrapText="1"/>
    </xf>
    <xf numFmtId="0" fontId="7" fillId="0" borderId="4" xfId="10" applyFont="1" applyFill="1" applyBorder="1" applyAlignment="1">
      <alignment vertical="top"/>
    </xf>
    <xf numFmtId="0" fontId="8" fillId="0" borderId="4" xfId="10" applyFont="1" applyFill="1" applyBorder="1" applyAlignment="1">
      <alignment vertical="top"/>
    </xf>
    <xf numFmtId="0" fontId="9" fillId="14" borderId="4" xfId="0" applyFont="1" applyFill="1" applyBorder="1" applyAlignment="1">
      <alignment vertical="center" wrapText="1"/>
    </xf>
    <xf numFmtId="0" fontId="50" fillId="0" borderId="4" xfId="0" applyFont="1" applyBorder="1" applyAlignment="1">
      <alignment vertical="center"/>
    </xf>
    <xf numFmtId="0" fontId="61" fillId="0" borderId="4" xfId="0" applyFont="1" applyBorder="1" applyAlignment="1">
      <alignment vertical="center"/>
    </xf>
    <xf numFmtId="2" fontId="7" fillId="0" borderId="4" xfId="14" applyNumberFormat="1" applyFont="1" applyFill="1" applyBorder="1" applyAlignment="1">
      <alignment horizontal="right" vertical="center"/>
    </xf>
    <xf numFmtId="164" fontId="52" fillId="0" borderId="4" xfId="69" applyFont="1" applyBorder="1"/>
    <xf numFmtId="164" fontId="51" fillId="0" borderId="4" xfId="69" applyFont="1" applyBorder="1"/>
    <xf numFmtId="10" fontId="16" fillId="0" borderId="4" xfId="40" applyNumberFormat="1" applyFont="1" applyFill="1" applyBorder="1" applyAlignment="1">
      <alignment vertical="center"/>
    </xf>
    <xf numFmtId="9" fontId="8" fillId="0" borderId="4" xfId="29" applyNumberFormat="1" applyFont="1" applyFill="1" applyBorder="1" applyAlignment="1">
      <alignment vertical="center"/>
    </xf>
    <xf numFmtId="164" fontId="7" fillId="0" borderId="4" xfId="29" applyFont="1" applyFill="1" applyBorder="1" applyAlignment="1" applyProtection="1">
      <alignment horizontal="left" vertical="center"/>
    </xf>
    <xf numFmtId="164" fontId="26" fillId="0" borderId="4" xfId="29" applyFont="1" applyFill="1" applyBorder="1" applyAlignment="1">
      <alignment vertical="center"/>
    </xf>
    <xf numFmtId="2" fontId="7" fillId="0" borderId="0" xfId="14" applyNumberFormat="1" applyFont="1" applyFill="1">
      <alignment vertical="center"/>
    </xf>
    <xf numFmtId="10" fontId="35" fillId="0" borderId="4" xfId="40" applyNumberFormat="1" applyFont="1" applyFill="1" applyBorder="1"/>
    <xf numFmtId="164" fontId="7" fillId="5" borderId="4" xfId="29" applyFont="1" applyFill="1" applyBorder="1" applyAlignment="1" applyProtection="1">
      <alignment horizontal="left"/>
    </xf>
    <xf numFmtId="10" fontId="35" fillId="0" borderId="4" xfId="29" applyNumberFormat="1" applyFont="1" applyFill="1" applyBorder="1"/>
    <xf numFmtId="164" fontId="7" fillId="0" borderId="4" xfId="29" applyFont="1" applyBorder="1" applyAlignment="1">
      <alignment vertical="center"/>
    </xf>
    <xf numFmtId="9" fontId="7" fillId="0" borderId="4" xfId="40" applyFont="1" applyBorder="1" applyAlignment="1">
      <alignment vertical="center"/>
    </xf>
    <xf numFmtId="164" fontId="8" fillId="0" borderId="4" xfId="29" applyFont="1" applyFill="1" applyBorder="1" applyAlignment="1">
      <alignment vertical="top" wrapText="1"/>
    </xf>
    <xf numFmtId="164" fontId="8" fillId="0" borderId="4" xfId="29" applyFont="1" applyBorder="1" applyAlignment="1">
      <alignment vertical="center"/>
    </xf>
    <xf numFmtId="164" fontId="7" fillId="0" borderId="4" xfId="69" applyFont="1" applyFill="1" applyBorder="1" applyAlignment="1">
      <alignment horizontal="center" vertical="center"/>
    </xf>
    <xf numFmtId="169" fontId="7" fillId="0" borderId="4" xfId="29" applyNumberFormat="1" applyFont="1" applyBorder="1" applyAlignment="1">
      <alignment vertical="top" wrapText="1"/>
    </xf>
    <xf numFmtId="164" fontId="7" fillId="0" borderId="4" xfId="29" applyFont="1" applyBorder="1" applyAlignment="1">
      <alignment vertical="top" wrapText="1"/>
    </xf>
    <xf numFmtId="164" fontId="8" fillId="0" borderId="4" xfId="29" applyFont="1" applyBorder="1" applyAlignment="1">
      <alignment vertical="top" wrapText="1"/>
    </xf>
    <xf numFmtId="169" fontId="8" fillId="4" borderId="4" xfId="29" applyNumberFormat="1" applyFont="1" applyFill="1" applyBorder="1"/>
    <xf numFmtId="164" fontId="7" fillId="0" borderId="4" xfId="69" applyFont="1" applyFill="1" applyBorder="1" applyAlignment="1">
      <alignment horizontal="center" vertical="center"/>
    </xf>
    <xf numFmtId="164" fontId="7" fillId="14" borderId="4" xfId="69" applyFont="1" applyFill="1" applyBorder="1" applyAlignment="1" applyProtection="1">
      <alignment vertical="center" wrapText="1"/>
    </xf>
    <xf numFmtId="10" fontId="7" fillId="14" borderId="4" xfId="70" applyNumberFormat="1" applyFont="1" applyFill="1" applyBorder="1" applyAlignment="1" applyProtection="1">
      <alignment vertical="center" wrapText="1"/>
    </xf>
    <xf numFmtId="164" fontId="7" fillId="14" borderId="4" xfId="69" applyFont="1" applyFill="1" applyBorder="1" applyAlignment="1" applyProtection="1">
      <alignment vertical="center"/>
    </xf>
    <xf numFmtId="10" fontId="7" fillId="14" borderId="4" xfId="70" applyNumberFormat="1" applyFont="1" applyFill="1" applyBorder="1" applyAlignment="1" applyProtection="1">
      <alignment vertical="center"/>
    </xf>
    <xf numFmtId="164" fontId="8" fillId="0" borderId="4" xfId="69" applyFont="1" applyFill="1" applyBorder="1" applyAlignment="1" applyProtection="1">
      <alignment horizontal="left"/>
    </xf>
    <xf numFmtId="164" fontId="7" fillId="14" borderId="4" xfId="69" applyFont="1" applyFill="1" applyBorder="1" applyAlignment="1">
      <alignment vertical="center" wrapText="1"/>
    </xf>
    <xf numFmtId="10" fontId="7" fillId="14" borderId="4" xfId="70" applyNumberFormat="1" applyFont="1" applyFill="1" applyBorder="1" applyAlignment="1">
      <alignment vertical="center" wrapText="1"/>
    </xf>
    <xf numFmtId="164" fontId="8" fillId="14" borderId="4" xfId="69" applyFont="1" applyFill="1" applyBorder="1" applyAlignment="1" applyProtection="1">
      <alignment vertical="center"/>
    </xf>
    <xf numFmtId="0" fontId="8" fillId="4" borderId="4" xfId="14" applyFont="1" applyFill="1" applyBorder="1" applyAlignment="1">
      <alignment horizontal="center" vertical="center" wrapText="1"/>
    </xf>
    <xf numFmtId="0" fontId="8" fillId="4" borderId="8"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4" quotePrefix="1" applyFont="1" applyFill="1" applyBorder="1" applyAlignment="1">
      <alignment horizontal="center" vertical="center" wrapText="1"/>
    </xf>
    <xf numFmtId="0" fontId="8" fillId="4" borderId="4" xfId="10" applyFont="1" applyFill="1" applyBorder="1" applyAlignment="1">
      <alignment horizontal="center" vertical="center" wrapText="1"/>
    </xf>
    <xf numFmtId="0" fontId="8" fillId="0" borderId="0" xfId="10" applyFont="1" applyAlignment="1">
      <alignment horizontal="left"/>
    </xf>
    <xf numFmtId="0" fontId="8" fillId="4" borderId="4" xfId="31" applyFont="1" applyFill="1" applyBorder="1" applyAlignment="1">
      <alignment horizontal="center" vertical="center" wrapText="1"/>
    </xf>
    <xf numFmtId="0" fontId="8" fillId="4" borderId="4" xfId="10" applyFont="1" applyFill="1" applyBorder="1" applyAlignment="1">
      <alignment horizontal="center"/>
    </xf>
    <xf numFmtId="0" fontId="8" fillId="4" borderId="4" xfId="10" applyFont="1" applyFill="1" applyBorder="1" applyAlignment="1">
      <alignment horizontal="center" vertical="top" wrapText="1"/>
    </xf>
    <xf numFmtId="0" fontId="8" fillId="4" borderId="4" xfId="10" applyFont="1" applyFill="1" applyBorder="1" applyAlignment="1">
      <alignment horizontal="center" vertical="center" wrapText="1"/>
    </xf>
    <xf numFmtId="0" fontId="8" fillId="4" borderId="4" xfId="31" applyFont="1" applyFill="1" applyBorder="1" applyAlignment="1">
      <alignment horizontal="center" vertical="center" wrapText="1"/>
    </xf>
    <xf numFmtId="0" fontId="7" fillId="0" borderId="0" xfId="10" applyFont="1" applyAlignment="1">
      <alignment horizontal="centerContinuous"/>
    </xf>
    <xf numFmtId="0" fontId="8" fillId="0" borderId="0" xfId="10" applyFont="1" applyAlignment="1">
      <alignment horizontal="center" vertical="center"/>
    </xf>
    <xf numFmtId="0" fontId="8" fillId="0" borderId="0" xfId="10" applyFont="1" applyAlignment="1">
      <alignment vertical="center"/>
    </xf>
    <xf numFmtId="0" fontId="7" fillId="0" borderId="0" xfId="71" applyFont="1"/>
    <xf numFmtId="0" fontId="7" fillId="0" borderId="4" xfId="10" applyFont="1" applyBorder="1" applyAlignment="1">
      <alignment horizontal="left" vertical="top"/>
    </xf>
    <xf numFmtId="0" fontId="7" fillId="6" borderId="4" xfId="10" applyFont="1" applyFill="1" applyBorder="1" applyAlignment="1">
      <alignment horizontal="left" vertical="top"/>
    </xf>
    <xf numFmtId="0" fontId="7" fillId="6" borderId="4" xfId="10" applyFont="1" applyFill="1" applyBorder="1" applyAlignment="1">
      <alignment horizontal="left" vertical="top" wrapText="1"/>
    </xf>
    <xf numFmtId="0" fontId="7" fillId="6" borderId="4" xfId="10" applyFont="1" applyFill="1" applyBorder="1" applyAlignment="1">
      <alignment vertical="top"/>
    </xf>
    <xf numFmtId="0" fontId="8" fillId="0" borderId="0" xfId="10" applyFont="1" applyAlignment="1">
      <alignment vertical="center" wrapText="1"/>
    </xf>
    <xf numFmtId="0" fontId="7" fillId="6" borderId="0" xfId="10" applyFont="1" applyFill="1"/>
    <xf numFmtId="0" fontId="27" fillId="0" borderId="0" xfId="10" applyFont="1"/>
    <xf numFmtId="0" fontId="17" fillId="0" borderId="0" xfId="71"/>
    <xf numFmtId="0" fontId="7" fillId="0" borderId="0" xfId="10" applyFont="1" applyAlignment="1">
      <alignment horizontal="center" vertical="top"/>
    </xf>
    <xf numFmtId="0" fontId="11" fillId="5" borderId="4" xfId="14" applyFont="1" applyFill="1" applyBorder="1" applyAlignment="1">
      <alignment horizontal="center" vertical="center" wrapText="1"/>
    </xf>
    <xf numFmtId="0" fontId="7" fillId="0" borderId="4" xfId="71" applyFont="1" applyBorder="1" applyAlignment="1">
      <alignment horizontal="center"/>
    </xf>
    <xf numFmtId="0" fontId="7" fillId="0" borderId="4" xfId="71" applyFont="1" applyBorder="1"/>
    <xf numFmtId="0" fontId="7" fillId="0" borderId="4" xfId="71" applyFont="1" applyFill="1" applyBorder="1" applyAlignment="1">
      <alignment horizontal="center"/>
    </xf>
    <xf numFmtId="0" fontId="8" fillId="0" borderId="4" xfId="71" applyFont="1" applyBorder="1" applyAlignment="1">
      <alignment horizontal="center"/>
    </xf>
    <xf numFmtId="0" fontId="8" fillId="0" borderId="4" xfId="71" applyFont="1" applyFill="1" applyBorder="1"/>
    <xf numFmtId="0" fontId="8" fillId="0" borderId="4" xfId="71" applyFont="1" applyBorder="1"/>
    <xf numFmtId="0" fontId="48" fillId="0" borderId="0" xfId="71" applyFont="1"/>
    <xf numFmtId="0" fontId="17" fillId="0" borderId="0" xfId="71" applyAlignment="1">
      <alignment vertical="center" wrapText="1"/>
    </xf>
    <xf numFmtId="0" fontId="7" fillId="5" borderId="0" xfId="10" applyFont="1" applyFill="1"/>
    <xf numFmtId="0" fontId="7" fillId="5" borderId="0" xfId="10" applyFont="1" applyFill="1" applyAlignment="1">
      <alignment vertical="center" wrapText="1"/>
    </xf>
    <xf numFmtId="0" fontId="26" fillId="0" borderId="0" xfId="10" applyFont="1" applyAlignment="1">
      <alignment vertical="top" wrapText="1"/>
    </xf>
    <xf numFmtId="0" fontId="8" fillId="5" borderId="0" xfId="10" applyFont="1" applyFill="1"/>
    <xf numFmtId="0" fontId="8" fillId="5" borderId="4" xfId="10" applyFont="1" applyFill="1" applyBorder="1" applyAlignment="1">
      <alignment vertical="top" wrapText="1"/>
    </xf>
    <xf numFmtId="0" fontId="7" fillId="5" borderId="4" xfId="10" applyFont="1" applyFill="1" applyBorder="1" applyAlignment="1">
      <alignment vertical="top" wrapText="1"/>
    </xf>
    <xf numFmtId="0" fontId="7" fillId="5" borderId="6" xfId="10" applyFont="1" applyFill="1" applyBorder="1" applyAlignment="1">
      <alignment horizontal="center" vertical="top"/>
    </xf>
    <xf numFmtId="0" fontId="7" fillId="0" borderId="8" xfId="10" applyFont="1" applyBorder="1" applyAlignment="1">
      <alignment horizontal="left"/>
    </xf>
    <xf numFmtId="0" fontId="8" fillId="0" borderId="8" xfId="10" applyFont="1" applyBorder="1" applyAlignment="1">
      <alignment horizontal="right"/>
    </xf>
    <xf numFmtId="2" fontId="8" fillId="5" borderId="4" xfId="14" applyNumberFormat="1" applyFont="1" applyFill="1" applyBorder="1" applyAlignment="1">
      <alignment horizontal="center" vertical="center" wrapText="1"/>
    </xf>
    <xf numFmtId="0" fontId="7" fillId="5" borderId="7" xfId="10" applyFont="1" applyFill="1" applyBorder="1" applyAlignment="1">
      <alignment horizontal="right" vertical="top"/>
    </xf>
    <xf numFmtId="0" fontId="7" fillId="5" borderId="7" xfId="10" applyFont="1" applyFill="1" applyBorder="1" applyAlignment="1">
      <alignment horizontal="center" vertical="top"/>
    </xf>
    <xf numFmtId="0" fontId="0" fillId="0" borderId="4" xfId="10" applyFont="1" applyBorder="1" applyAlignment="1">
      <alignment horizontal="center" vertical="center"/>
    </xf>
    <xf numFmtId="0" fontId="0" fillId="0" borderId="4" xfId="10" applyFont="1" applyBorder="1" applyAlignment="1">
      <alignment horizontal="center" vertical="center" wrapText="1"/>
    </xf>
    <xf numFmtId="0" fontId="8" fillId="0" borderId="0" xfId="10" applyFont="1" applyAlignment="1">
      <alignment horizontal="centerContinuous" vertical="top"/>
    </xf>
    <xf numFmtId="164" fontId="7" fillId="0" borderId="4" xfId="10" applyNumberFormat="1" applyFont="1" applyBorder="1"/>
    <xf numFmtId="164" fontId="8" fillId="0" borderId="4" xfId="10" applyNumberFormat="1" applyFont="1" applyBorder="1" applyAlignment="1">
      <alignment horizontal="left" vertical="top"/>
    </xf>
    <xf numFmtId="43" fontId="7" fillId="0" borderId="4" xfId="10" applyNumberFormat="1" applyFont="1" applyBorder="1"/>
    <xf numFmtId="0" fontId="7" fillId="0" borderId="11" xfId="71" applyFont="1" applyBorder="1"/>
    <xf numFmtId="0" fontId="7" fillId="0" borderId="16" xfId="71" applyFont="1" applyBorder="1"/>
    <xf numFmtId="0" fontId="8" fillId="4" borderId="4" xfId="71" applyFont="1" applyFill="1" applyBorder="1" applyAlignment="1">
      <alignment horizontal="center" vertical="top" wrapText="1"/>
    </xf>
    <xf numFmtId="0" fontId="7" fillId="0" borderId="0" xfId="71" applyFont="1" applyAlignment="1">
      <alignment vertical="top" wrapText="1"/>
    </xf>
    <xf numFmtId="0" fontId="7" fillId="0" borderId="0" xfId="10" applyFont="1" applyAlignment="1">
      <alignment horizontal="left" vertical="center" wrapText="1"/>
    </xf>
    <xf numFmtId="2" fontId="7" fillId="0" borderId="0" xfId="10" applyNumberFormat="1" applyFont="1" applyAlignment="1">
      <alignment horizontal="center" vertical="center" wrapText="1"/>
    </xf>
    <xf numFmtId="14" fontId="7" fillId="0" borderId="0" xfId="71" applyNumberFormat="1" applyFont="1"/>
    <xf numFmtId="2" fontId="7" fillId="0" borderId="0" xfId="71" applyNumberFormat="1" applyFont="1"/>
    <xf numFmtId="0" fontId="7" fillId="0" borderId="0" xfId="71" applyFont="1" applyAlignment="1">
      <alignment vertical="top"/>
    </xf>
    <xf numFmtId="0" fontId="7" fillId="0" borderId="0" xfId="71" applyFont="1" applyAlignment="1">
      <alignment vertical="center" wrapText="1"/>
    </xf>
    <xf numFmtId="0" fontId="8" fillId="0" borderId="0" xfId="71" applyFont="1" applyAlignment="1">
      <alignment vertical="top"/>
    </xf>
    <xf numFmtId="0" fontId="8" fillId="4" borderId="4" xfId="71" applyFont="1" applyFill="1" applyBorder="1" applyAlignment="1">
      <alignment horizontal="center" vertical="center"/>
    </xf>
    <xf numFmtId="0" fontId="8" fillId="4" borderId="4" xfId="71" applyFont="1" applyFill="1" applyBorder="1" applyAlignment="1">
      <alignment horizontal="center" vertical="center" wrapText="1"/>
    </xf>
    <xf numFmtId="0" fontId="8" fillId="4" borderId="4" xfId="71" applyFont="1" applyFill="1" applyBorder="1" applyAlignment="1">
      <alignment horizontal="left" vertical="center" wrapText="1"/>
    </xf>
    <xf numFmtId="0" fontId="7" fillId="0" borderId="0" xfId="71" applyFont="1" applyAlignment="1">
      <alignment horizontal="center" vertical="center"/>
    </xf>
    <xf numFmtId="0" fontId="8" fillId="0" borderId="4" xfId="71" applyFont="1" applyBorder="1" applyAlignment="1">
      <alignment horizontal="justify" vertical="top"/>
    </xf>
    <xf numFmtId="0" fontId="7" fillId="0" borderId="4" xfId="71" applyFont="1" applyBorder="1" applyAlignment="1">
      <alignment horizontal="justify" vertical="top"/>
    </xf>
    <xf numFmtId="0" fontId="7" fillId="0" borderId="0" xfId="35" applyFont="1" applyAlignment="1">
      <alignment vertical="center"/>
    </xf>
    <xf numFmtId="0" fontId="7" fillId="0" borderId="11" xfId="35" applyFont="1" applyBorder="1" applyAlignment="1">
      <alignment vertical="center" wrapText="1"/>
    </xf>
    <xf numFmtId="0" fontId="7" fillId="0" borderId="11" xfId="35" applyFont="1" applyBorder="1"/>
    <xf numFmtId="0" fontId="7" fillId="0" borderId="0" xfId="35" applyFont="1"/>
    <xf numFmtId="2" fontId="7" fillId="0" borderId="0" xfId="35" applyNumberFormat="1" applyFont="1"/>
    <xf numFmtId="0" fontId="7" fillId="0" borderId="0" xfId="35" applyFont="1" applyAlignment="1">
      <alignment wrapText="1"/>
    </xf>
    <xf numFmtId="0" fontId="7" fillId="0" borderId="0" xfId="71" applyFont="1" applyAlignment="1">
      <alignment vertical="center"/>
    </xf>
    <xf numFmtId="0" fontId="8" fillId="0" borderId="0" xfId="71" applyFont="1" applyAlignment="1">
      <alignment vertical="center"/>
    </xf>
    <xf numFmtId="0" fontId="7" fillId="0" borderId="0" xfId="35" applyFont="1" applyAlignment="1">
      <alignment vertical="center" wrapText="1"/>
    </xf>
    <xf numFmtId="0" fontId="8" fillId="0" borderId="0" xfId="35" applyFont="1" applyAlignment="1">
      <alignment horizontal="right" wrapText="1"/>
    </xf>
    <xf numFmtId="0" fontId="7" fillId="0" borderId="0" xfId="35" applyFont="1" applyAlignment="1">
      <alignment horizontal="center"/>
    </xf>
    <xf numFmtId="0" fontId="7" fillId="0" borderId="0" xfId="35" applyFont="1" applyAlignment="1">
      <alignment horizontal="center" vertical="center"/>
    </xf>
    <xf numFmtId="0" fontId="8" fillId="4" borderId="4" xfId="35" applyFont="1" applyFill="1" applyBorder="1" applyAlignment="1">
      <alignment horizontal="center" vertical="center" wrapText="1"/>
    </xf>
    <xf numFmtId="0" fontId="7" fillId="0" borderId="0" xfId="35" applyFont="1" applyAlignment="1">
      <alignment horizontal="center" vertical="center" wrapText="1"/>
    </xf>
    <xf numFmtId="2" fontId="8" fillId="4" borderId="4" xfId="35" applyNumberFormat="1" applyFont="1" applyFill="1" applyBorder="1" applyAlignment="1">
      <alignment horizontal="center" vertical="center" wrapText="1"/>
    </xf>
    <xf numFmtId="168" fontId="8" fillId="0" borderId="4" xfId="35" quotePrefix="1" applyNumberFormat="1" applyFont="1" applyBorder="1" applyAlignment="1">
      <alignment horizontal="center" vertical="center" wrapText="1"/>
    </xf>
    <xf numFmtId="0" fontId="8" fillId="0" borderId="4" xfId="35" applyFont="1" applyBorder="1" applyAlignment="1">
      <alignment horizontal="justify" vertical="center" wrapText="1"/>
    </xf>
    <xf numFmtId="0" fontId="8" fillId="0" borderId="4" xfId="35" applyFont="1" applyBorder="1" applyAlignment="1">
      <alignment wrapText="1"/>
    </xf>
    <xf numFmtId="0" fontId="8" fillId="0" borderId="0" xfId="35" applyFont="1"/>
    <xf numFmtId="168" fontId="7" fillId="0" borderId="4" xfId="35" applyNumberFormat="1" applyFont="1" applyBorder="1" applyAlignment="1">
      <alignment horizontal="center" vertical="center"/>
    </xf>
    <xf numFmtId="0" fontId="7" fillId="0" borderId="4" xfId="35" applyFont="1" applyBorder="1" applyAlignment="1">
      <alignment vertical="center" wrapText="1"/>
    </xf>
    <xf numFmtId="0" fontId="7" fillId="0" borderId="4" xfId="77" applyFont="1" applyBorder="1" applyAlignment="1">
      <alignment vertical="center" wrapText="1"/>
    </xf>
    <xf numFmtId="0" fontId="7" fillId="0" borderId="4" xfId="35" applyFont="1" applyBorder="1" applyAlignment="1">
      <alignment horizontal="center" vertical="center"/>
    </xf>
    <xf numFmtId="168" fontId="8" fillId="0" borderId="4" xfId="35" applyNumberFormat="1" applyFont="1" applyBorder="1" applyAlignment="1">
      <alignment horizontal="center" vertical="center"/>
    </xf>
    <xf numFmtId="0" fontId="8" fillId="0" borderId="4" xfId="77" applyFont="1" applyBorder="1" applyAlignment="1">
      <alignment vertical="center" wrapText="1"/>
    </xf>
    <xf numFmtId="168" fontId="8" fillId="0" borderId="4" xfId="71" applyNumberFormat="1" applyFont="1" applyBorder="1" applyAlignment="1">
      <alignment horizontal="center" vertical="center"/>
    </xf>
    <xf numFmtId="168" fontId="7" fillId="0" borderId="4" xfId="71" applyNumberFormat="1" applyFont="1" applyBorder="1" applyAlignment="1">
      <alignment horizontal="center" vertical="center"/>
    </xf>
    <xf numFmtId="0" fontId="7" fillId="0" borderId="4" xfId="71" applyFont="1" applyBorder="1" applyAlignment="1">
      <alignment vertical="center" wrapText="1"/>
    </xf>
    <xf numFmtId="10" fontId="8" fillId="0" borderId="0" xfId="40" applyNumberFormat="1" applyFont="1" applyFill="1" applyBorder="1"/>
    <xf numFmtId="10" fontId="7" fillId="0" borderId="0" xfId="40" applyNumberFormat="1" applyFont="1" applyFill="1" applyBorder="1"/>
    <xf numFmtId="0" fontId="7" fillId="0" borderId="4" xfId="35" applyFont="1" applyBorder="1"/>
    <xf numFmtId="0" fontId="8" fillId="0" borderId="4" xfId="71" applyFont="1" applyBorder="1" applyAlignment="1">
      <alignment vertical="center" wrapText="1"/>
    </xf>
    <xf numFmtId="0" fontId="7" fillId="0" borderId="4" xfId="71" applyFont="1" applyBorder="1" applyAlignment="1">
      <alignment horizontal="center" vertical="center"/>
    </xf>
    <xf numFmtId="0" fontId="8" fillId="0" borderId="4" xfId="77" applyFont="1" applyBorder="1" applyAlignment="1">
      <alignment horizontal="justify" vertical="center" wrapText="1"/>
    </xf>
    <xf numFmtId="2" fontId="7" fillId="0" borderId="4" xfId="71" applyNumberFormat="1" applyFont="1" applyBorder="1" applyAlignment="1">
      <alignment horizontal="center" vertical="center"/>
    </xf>
    <xf numFmtId="2" fontId="8" fillId="0" borderId="4" xfId="71" applyNumberFormat="1" applyFont="1" applyBorder="1" applyAlignment="1">
      <alignment horizontal="center" vertical="center"/>
    </xf>
    <xf numFmtId="164" fontId="7" fillId="0" borderId="0" xfId="35" applyNumberFormat="1" applyFont="1"/>
    <xf numFmtId="0" fontId="7" fillId="0" borderId="0" xfId="34" applyFont="1" applyAlignment="1">
      <alignment wrapText="1"/>
    </xf>
    <xf numFmtId="0" fontId="7" fillId="0" borderId="11" xfId="34" applyFont="1" applyBorder="1" applyAlignment="1">
      <alignment wrapText="1"/>
    </xf>
    <xf numFmtId="0" fontId="7" fillId="0" borderId="0" xfId="34" applyFont="1" applyAlignment="1">
      <alignment horizontal="center" wrapText="1"/>
    </xf>
    <xf numFmtId="0" fontId="8" fillId="0" borderId="0" xfId="71" applyFont="1" applyAlignment="1">
      <alignment horizontal="center" vertical="center"/>
    </xf>
    <xf numFmtId="0" fontId="8" fillId="7" borderId="4" xfId="71" applyFont="1" applyFill="1" applyBorder="1" applyAlignment="1">
      <alignment horizontal="center" vertical="center" wrapText="1"/>
    </xf>
    <xf numFmtId="1" fontId="8" fillId="7" borderId="4" xfId="71" applyNumberFormat="1" applyFont="1" applyFill="1" applyBorder="1" applyAlignment="1">
      <alignment horizontal="center" vertical="center" wrapText="1"/>
    </xf>
    <xf numFmtId="0" fontId="7" fillId="0" borderId="20" xfId="71" applyFont="1" applyBorder="1" applyAlignment="1">
      <alignment horizontal="center" vertical="center"/>
    </xf>
    <xf numFmtId="0" fontId="8" fillId="0" borderId="0" xfId="34" applyFont="1" applyAlignment="1">
      <alignment wrapText="1"/>
    </xf>
    <xf numFmtId="0" fontId="7" fillId="0" borderId="21" xfId="71" applyFont="1" applyBorder="1" applyAlignment="1">
      <alignment vertical="center"/>
    </xf>
    <xf numFmtId="0" fontId="7" fillId="0" borderId="0" xfId="34" applyFont="1" applyAlignment="1">
      <alignment vertical="center" wrapText="1"/>
    </xf>
    <xf numFmtId="2" fontId="7" fillId="0" borderId="0" xfId="34" applyNumberFormat="1" applyFont="1" applyAlignment="1">
      <alignment wrapText="1"/>
    </xf>
    <xf numFmtId="185" fontId="7" fillId="0" borderId="0" xfId="34" applyNumberFormat="1" applyFont="1" applyAlignment="1">
      <alignment horizontal="center" wrapText="1"/>
    </xf>
    <xf numFmtId="2" fontId="7" fillId="0" borderId="0" xfId="34" applyNumberFormat="1" applyFont="1" applyAlignment="1">
      <alignment horizontal="center" wrapText="1"/>
    </xf>
    <xf numFmtId="185" fontId="7" fillId="0" borderId="0" xfId="34" applyNumberFormat="1" applyFont="1" applyAlignment="1">
      <alignment wrapText="1"/>
    </xf>
    <xf numFmtId="184" fontId="8" fillId="0" borderId="0" xfId="77" applyNumberFormat="1" applyFont="1" applyAlignment="1">
      <alignment horizontal="center" wrapText="1"/>
    </xf>
    <xf numFmtId="184" fontId="7" fillId="0" borderId="0" xfId="34" applyNumberFormat="1" applyFont="1" applyAlignment="1">
      <alignment horizontal="center" wrapText="1"/>
    </xf>
    <xf numFmtId="0" fontId="8" fillId="4" borderId="4" xfId="10" quotePrefix="1" applyFont="1" applyFill="1" applyBorder="1" applyAlignment="1">
      <alignment horizontal="center" vertical="top" wrapText="1"/>
    </xf>
    <xf numFmtId="0" fontId="8" fillId="0" borderId="4" xfId="10" applyFont="1" applyBorder="1" applyAlignment="1">
      <alignment horizontal="left" vertical="top" wrapText="1"/>
    </xf>
    <xf numFmtId="2" fontId="7" fillId="0" borderId="0" xfId="10" applyNumberFormat="1" applyFont="1"/>
    <xf numFmtId="9" fontId="7" fillId="0" borderId="0" xfId="40" applyFont="1" applyBorder="1"/>
    <xf numFmtId="10" fontId="7" fillId="0" borderId="0" xfId="40" applyNumberFormat="1" applyFont="1" applyBorder="1"/>
    <xf numFmtId="0" fontId="7" fillId="0" borderId="4" xfId="10" applyFont="1" applyBorder="1" applyAlignment="1">
      <alignment horizontal="right"/>
    </xf>
    <xf numFmtId="0" fontId="7" fillId="6" borderId="4" xfId="10" applyFont="1" applyFill="1" applyBorder="1" applyAlignment="1">
      <alignment horizontal="right"/>
    </xf>
    <xf numFmtId="186" fontId="7" fillId="0" borderId="0" xfId="40" applyNumberFormat="1" applyFont="1" applyBorder="1"/>
    <xf numFmtId="185" fontId="7" fillId="0" borderId="0" xfId="10" applyNumberFormat="1" applyFont="1"/>
    <xf numFmtId="0" fontId="8" fillId="0" borderId="4" xfId="10" quotePrefix="1" applyFont="1" applyBorder="1" applyAlignment="1">
      <alignment horizontal="center"/>
    </xf>
    <xf numFmtId="2" fontId="8" fillId="0" borderId="0" xfId="10" applyNumberFormat="1" applyFont="1"/>
    <xf numFmtId="0" fontId="8" fillId="0" borderId="4" xfId="10" applyFont="1" applyBorder="1" applyAlignment="1">
      <alignment wrapText="1"/>
    </xf>
    <xf numFmtId="0" fontId="7" fillId="0" borderId="0" xfId="10" applyFont="1" applyAlignment="1">
      <alignment horizontal="left" vertical="top"/>
    </xf>
    <xf numFmtId="46" fontId="8" fillId="0" borderId="0" xfId="10" applyNumberFormat="1" applyFont="1" applyAlignment="1">
      <alignment horizontal="left"/>
    </xf>
    <xf numFmtId="164" fontId="8" fillId="0" borderId="0" xfId="10" applyNumberFormat="1" applyFont="1" applyAlignment="1">
      <alignment horizontal="center"/>
    </xf>
    <xf numFmtId="9" fontId="8" fillId="0" borderId="0" xfId="40" quotePrefix="1" applyFont="1" applyFill="1" applyBorder="1" applyAlignment="1">
      <alignment horizontal="right"/>
    </xf>
    <xf numFmtId="164" fontId="8" fillId="0" borderId="0" xfId="76" applyFont="1" applyFill="1" applyBorder="1" applyAlignment="1">
      <alignment horizontal="center"/>
    </xf>
    <xf numFmtId="164" fontId="8" fillId="0" borderId="0" xfId="76" quotePrefix="1" applyFont="1" applyFill="1" applyBorder="1" applyAlignment="1">
      <alignment horizontal="right"/>
    </xf>
    <xf numFmtId="2" fontId="8" fillId="0" borderId="0" xfId="10" applyNumberFormat="1" applyFont="1" applyAlignment="1">
      <alignment horizontal="center"/>
    </xf>
    <xf numFmtId="164" fontId="7" fillId="0" borderId="0" xfId="76" applyFont="1" applyFill="1" applyBorder="1"/>
    <xf numFmtId="174" fontId="7" fillId="0" borderId="0" xfId="10" applyNumberFormat="1" applyFont="1"/>
    <xf numFmtId="0" fontId="7" fillId="0" borderId="4" xfId="10" applyFont="1" applyBorder="1" applyAlignment="1">
      <alignment wrapText="1"/>
    </xf>
    <xf numFmtId="0" fontId="7" fillId="0" borderId="0" xfId="10" applyFont="1" applyAlignment="1">
      <alignment horizontal="left" wrapText="1"/>
    </xf>
    <xf numFmtId="0" fontId="8" fillId="0" borderId="0" xfId="35" applyFont="1" applyAlignment="1">
      <alignment vertical="top"/>
    </xf>
    <xf numFmtId="0" fontId="8" fillId="0" borderId="0" xfId="35" applyFont="1" applyAlignment="1">
      <alignment horizontal="center" vertical="top"/>
    </xf>
    <xf numFmtId="0" fontId="8" fillId="4" borderId="4" xfId="35" applyFont="1" applyFill="1" applyBorder="1" applyAlignment="1">
      <alignment horizontal="center" vertical="top" wrapText="1"/>
    </xf>
    <xf numFmtId="0" fontId="8" fillId="0" borderId="4" xfId="35" applyFont="1" applyBorder="1" applyAlignment="1">
      <alignment horizontal="center" vertical="top" wrapText="1"/>
    </xf>
    <xf numFmtId="0" fontId="8" fillId="0" borderId="4" xfId="35" applyFont="1" applyBorder="1" applyAlignment="1">
      <alignment horizontal="left" vertical="top"/>
    </xf>
    <xf numFmtId="0" fontId="8" fillId="0" borderId="23" xfId="35" applyFont="1" applyBorder="1" applyAlignment="1">
      <alignment horizontal="center" vertical="top" wrapText="1"/>
    </xf>
    <xf numFmtId="0" fontId="8" fillId="0" borderId="7" xfId="35" applyFont="1" applyBorder="1" applyAlignment="1">
      <alignment horizontal="left" vertical="top"/>
    </xf>
    <xf numFmtId="0" fontId="8" fillId="0" borderId="21" xfId="35" applyFont="1" applyBorder="1" applyAlignment="1">
      <alignment horizontal="center" vertical="top" wrapText="1"/>
    </xf>
    <xf numFmtId="2" fontId="8" fillId="0" borderId="22" xfId="10" quotePrefix="1" applyNumberFormat="1" applyFont="1" applyBorder="1" applyAlignment="1">
      <alignment horizontal="center" vertical="center" wrapText="1"/>
    </xf>
    <xf numFmtId="164" fontId="7" fillId="0" borderId="0" xfId="25" applyFont="1" applyBorder="1"/>
    <xf numFmtId="0" fontId="8" fillId="0" borderId="0" xfId="71" applyFont="1" applyAlignment="1">
      <alignment horizontal="right"/>
    </xf>
    <xf numFmtId="0" fontId="7" fillId="0" borderId="0" xfId="71" applyFont="1" applyAlignment="1">
      <alignment horizontal="center"/>
    </xf>
    <xf numFmtId="0" fontId="7" fillId="0" borderId="4" xfId="71" applyFont="1" applyBorder="1" applyAlignment="1">
      <alignment horizontal="left" vertical="top" wrapText="1"/>
    </xf>
    <xf numFmtId="164" fontId="7" fillId="0" borderId="4" xfId="76" applyFont="1" applyFill="1" applyBorder="1"/>
    <xf numFmtId="0" fontId="7" fillId="0" borderId="4" xfId="71" applyFont="1" applyBorder="1" applyAlignment="1">
      <alignment horizontal="left"/>
    </xf>
    <xf numFmtId="0" fontId="8" fillId="0" borderId="4" xfId="71" applyFont="1" applyBorder="1" applyAlignment="1">
      <alignment horizontal="left" vertical="top" wrapText="1"/>
    </xf>
    <xf numFmtId="164" fontId="7" fillId="0" borderId="0" xfId="71" applyNumberFormat="1" applyFont="1"/>
    <xf numFmtId="0" fontId="7" fillId="6" borderId="11" xfId="71" applyFont="1" applyFill="1" applyBorder="1"/>
    <xf numFmtId="0" fontId="7" fillId="6" borderId="0" xfId="71" applyFont="1" applyFill="1"/>
    <xf numFmtId="0" fontId="8" fillId="6" borderId="0" xfId="78" applyFont="1" applyFill="1">
      <alignment vertical="center"/>
    </xf>
    <xf numFmtId="0" fontId="7" fillId="6" borderId="0" xfId="71" applyFont="1" applyFill="1" applyAlignment="1">
      <alignment vertical="center"/>
    </xf>
    <xf numFmtId="0" fontId="8" fillId="6" borderId="0" xfId="71" applyFont="1" applyFill="1" applyAlignment="1">
      <alignment vertical="center"/>
    </xf>
    <xf numFmtId="0" fontId="7" fillId="6" borderId="0" xfId="71" applyFont="1" applyFill="1" applyAlignment="1">
      <alignment horizontal="center" vertical="center"/>
    </xf>
    <xf numFmtId="0" fontId="8" fillId="6" borderId="0" xfId="10" applyFont="1" applyFill="1" applyAlignment="1">
      <alignment horizontal="center" vertical="center"/>
    </xf>
    <xf numFmtId="0" fontId="8" fillId="6" borderId="0" xfId="35" applyFont="1" applyFill="1" applyAlignment="1">
      <alignment horizontal="center" vertical="top"/>
    </xf>
    <xf numFmtId="0" fontId="8" fillId="6" borderId="0" xfId="78" applyFont="1" applyFill="1" applyAlignment="1">
      <alignment horizontal="center" vertical="center"/>
    </xf>
    <xf numFmtId="0" fontId="8" fillId="7" borderId="4" xfId="71" applyFont="1" applyFill="1" applyBorder="1"/>
    <xf numFmtId="0" fontId="7" fillId="7" borderId="4" xfId="71" applyFont="1" applyFill="1" applyBorder="1"/>
    <xf numFmtId="0" fontId="8" fillId="7" borderId="4" xfId="71" applyFont="1" applyFill="1" applyBorder="1" applyAlignment="1">
      <alignment vertical="top" wrapText="1"/>
    </xf>
    <xf numFmtId="0" fontId="8" fillId="7" borderId="4" xfId="71" applyFont="1" applyFill="1" applyBorder="1" applyAlignment="1">
      <alignment horizontal="center" vertical="top" wrapText="1"/>
    </xf>
    <xf numFmtId="0" fontId="7" fillId="6" borderId="4" xfId="71" applyFont="1" applyFill="1" applyBorder="1"/>
    <xf numFmtId="0" fontId="7" fillId="6" borderId="4" xfId="71" applyFont="1" applyFill="1" applyBorder="1" applyAlignment="1">
      <alignment horizontal="right"/>
    </xf>
    <xf numFmtId="0" fontId="8" fillId="6" borderId="4" xfId="71" applyFont="1" applyFill="1" applyBorder="1"/>
    <xf numFmtId="2" fontId="7" fillId="6" borderId="4" xfId="71" applyNumberFormat="1" applyFont="1" applyFill="1" applyBorder="1"/>
    <xf numFmtId="164" fontId="7" fillId="6" borderId="4" xfId="76" applyFont="1" applyFill="1" applyBorder="1"/>
    <xf numFmtId="2" fontId="7" fillId="0" borderId="4" xfId="10" applyNumberFormat="1" applyFont="1" applyBorder="1"/>
    <xf numFmtId="2" fontId="7" fillId="6" borderId="0" xfId="71" applyNumberFormat="1" applyFont="1" applyFill="1"/>
    <xf numFmtId="2" fontId="8" fillId="6" borderId="4" xfId="71" applyNumberFormat="1" applyFont="1" applyFill="1" applyBorder="1"/>
    <xf numFmtId="164" fontId="8" fillId="6" borderId="4" xfId="76" applyFont="1" applyFill="1" applyBorder="1"/>
    <xf numFmtId="0" fontId="8" fillId="6" borderId="0" xfId="71" applyFont="1" applyFill="1"/>
    <xf numFmtId="164" fontId="7" fillId="0" borderId="4" xfId="76" applyFont="1" applyBorder="1"/>
    <xf numFmtId="0" fontId="7" fillId="6" borderId="4" xfId="71" applyFont="1" applyFill="1" applyBorder="1" applyAlignment="1">
      <alignment vertical="center" wrapText="1"/>
    </xf>
    <xf numFmtId="164" fontId="7" fillId="6" borderId="4" xfId="76" applyFont="1" applyFill="1" applyBorder="1" applyAlignment="1">
      <alignment horizontal="right"/>
    </xf>
    <xf numFmtId="0" fontId="8" fillId="6" borderId="4" xfId="10" applyFont="1" applyFill="1" applyBorder="1"/>
    <xf numFmtId="0" fontId="37" fillId="0" borderId="0" xfId="79" applyFont="1"/>
    <xf numFmtId="0" fontId="39" fillId="11" borderId="0" xfId="79" applyFont="1" applyFill="1" applyAlignment="1">
      <alignment horizontal="left"/>
    </xf>
    <xf numFmtId="0" fontId="39" fillId="0" borderId="0" xfId="79" applyFont="1"/>
    <xf numFmtId="0" fontId="39" fillId="12" borderId="4" xfId="79" applyFont="1" applyFill="1" applyBorder="1" applyAlignment="1">
      <alignment vertical="center"/>
    </xf>
    <xf numFmtId="0" fontId="39" fillId="12" borderId="4" xfId="79" applyFont="1" applyFill="1" applyBorder="1" applyAlignment="1">
      <alignment horizontal="center" vertical="center" wrapText="1"/>
    </xf>
    <xf numFmtId="0" fontId="39" fillId="12" borderId="4" xfId="79" applyFont="1" applyFill="1" applyBorder="1" applyAlignment="1">
      <alignment horizontal="center" vertical="center"/>
    </xf>
    <xf numFmtId="0" fontId="37" fillId="0" borderId="4" xfId="79" applyFont="1" applyBorder="1"/>
    <xf numFmtId="0" fontId="37" fillId="0" borderId="4" xfId="79" applyFont="1" applyBorder="1" applyAlignment="1">
      <alignment horizontal="left"/>
    </xf>
    <xf numFmtId="169" fontId="37" fillId="0" borderId="4" xfId="80" applyNumberFormat="1" applyFont="1" applyBorder="1"/>
    <xf numFmtId="170" fontId="37" fillId="0" borderId="4" xfId="64" applyNumberFormat="1" applyFont="1" applyBorder="1" applyAlignment="1">
      <alignment vertical="center" wrapText="1"/>
    </xf>
    <xf numFmtId="0" fontId="39" fillId="10" borderId="4" xfId="79" applyFont="1" applyFill="1" applyBorder="1"/>
    <xf numFmtId="0" fontId="39" fillId="10" borderId="4" xfId="79" applyFont="1" applyFill="1" applyBorder="1" applyAlignment="1">
      <alignment horizontal="left"/>
    </xf>
    <xf numFmtId="170" fontId="37" fillId="0" borderId="0" xfId="79" applyNumberFormat="1" applyFont="1"/>
    <xf numFmtId="0" fontId="37" fillId="0" borderId="0" xfId="79" applyFont="1" applyAlignment="1">
      <alignment vertical="center" wrapText="1"/>
    </xf>
    <xf numFmtId="0" fontId="39" fillId="0" borderId="0" xfId="79" applyFont="1" applyAlignment="1">
      <alignment vertical="center"/>
    </xf>
    <xf numFmtId="0" fontId="39" fillId="12" borderId="4" xfId="79" applyFont="1" applyFill="1" applyBorder="1" applyAlignment="1">
      <alignment vertical="center" wrapText="1"/>
    </xf>
    <xf numFmtId="0" fontId="39" fillId="12" borderId="4" xfId="79" applyFont="1" applyFill="1" applyBorder="1" applyAlignment="1">
      <alignment horizontal="left" vertical="center"/>
    </xf>
    <xf numFmtId="10" fontId="37" fillId="0" borderId="4" xfId="79" applyNumberFormat="1" applyFont="1" applyBorder="1"/>
    <xf numFmtId="164" fontId="37" fillId="0" borderId="4" xfId="81" applyNumberFormat="1" applyFont="1" applyBorder="1" applyAlignment="1">
      <alignment vertical="center"/>
    </xf>
    <xf numFmtId="171" fontId="37" fillId="0" borderId="4" xfId="82" applyNumberFormat="1" applyFont="1" applyBorder="1"/>
    <xf numFmtId="10" fontId="37" fillId="6" borderId="4" xfId="79" applyNumberFormat="1" applyFont="1" applyFill="1" applyBorder="1"/>
    <xf numFmtId="0" fontId="37" fillId="0" borderId="0" xfId="79" applyFont="1" applyAlignment="1">
      <alignment horizontal="left"/>
    </xf>
    <xf numFmtId="164" fontId="37" fillId="0" borderId="0" xfId="80" applyNumberFormat="1" applyFont="1"/>
    <xf numFmtId="0" fontId="37" fillId="0" borderId="0" xfId="79" applyFont="1" applyAlignment="1">
      <alignment vertical="center"/>
    </xf>
    <xf numFmtId="164" fontId="37" fillId="0" borderId="4" xfId="80" applyNumberFormat="1" applyFont="1" applyBorder="1"/>
    <xf numFmtId="170" fontId="37" fillId="0" borderId="4" xfId="79" applyNumberFormat="1" applyFont="1" applyBorder="1"/>
    <xf numFmtId="0" fontId="16" fillId="0" borderId="4" xfId="14" applyFont="1" applyBorder="1" applyAlignment="1">
      <alignment horizontal="left" vertical="center"/>
    </xf>
    <xf numFmtId="0" fontId="16" fillId="0" borderId="4" xfId="14" applyFont="1" applyBorder="1" applyAlignment="1">
      <alignment vertical="center" wrapText="1"/>
    </xf>
    <xf numFmtId="0" fontId="16" fillId="10" borderId="4" xfId="14" applyFont="1" applyFill="1" applyBorder="1" applyAlignment="1">
      <alignment horizontal="center" vertical="center"/>
    </xf>
    <xf numFmtId="0" fontId="12" fillId="10" borderId="4" xfId="14" applyFont="1" applyFill="1" applyBorder="1">
      <alignment vertical="center"/>
    </xf>
    <xf numFmtId="0" fontId="16" fillId="10" borderId="4" xfId="14" applyFont="1" applyFill="1" applyBorder="1" applyAlignment="1">
      <alignment horizontal="left" vertical="center"/>
    </xf>
    <xf numFmtId="0" fontId="16" fillId="0" borderId="7" xfId="14" applyFont="1" applyBorder="1" applyAlignment="1">
      <alignment horizontal="center" vertical="center"/>
    </xf>
    <xf numFmtId="0" fontId="16" fillId="6" borderId="7" xfId="14" applyFont="1" applyFill="1" applyBorder="1">
      <alignment vertical="center"/>
    </xf>
    <xf numFmtId="0" fontId="16" fillId="6" borderId="7" xfId="14" applyFont="1" applyFill="1" applyBorder="1" applyAlignment="1">
      <alignment horizontal="left" vertical="center"/>
    </xf>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0" borderId="0" xfId="10" applyFont="1" applyBorder="1" applyAlignment="1">
      <alignment horizontal="center" vertical="center"/>
    </xf>
    <xf numFmtId="0" fontId="8" fillId="4" borderId="7" xfId="14" applyFont="1" applyFill="1" applyBorder="1" applyAlignment="1">
      <alignment horizontal="center" vertical="center" wrapText="1"/>
    </xf>
    <xf numFmtId="0" fontId="8" fillId="4" borderId="10" xfId="14" applyFont="1" applyFill="1" applyBorder="1" applyAlignment="1">
      <alignment horizontal="center" vertical="center" wrapText="1"/>
    </xf>
    <xf numFmtId="0" fontId="8" fillId="4" borderId="4" xfId="10" applyFont="1" applyFill="1" applyBorder="1" applyAlignment="1">
      <alignment horizontal="center" vertical="center" wrapText="1"/>
    </xf>
    <xf numFmtId="0" fontId="8" fillId="4" borderId="6" xfId="14" applyFont="1" applyFill="1" applyBorder="1" applyAlignment="1">
      <alignment horizontal="center" vertical="center" wrapText="1"/>
    </xf>
    <xf numFmtId="0" fontId="8" fillId="0" borderId="0" xfId="10" applyFont="1" applyAlignment="1">
      <alignment horizontal="left"/>
    </xf>
    <xf numFmtId="0" fontId="8" fillId="7" borderId="7" xfId="14" applyFont="1" applyFill="1" applyBorder="1" applyAlignment="1">
      <alignment horizontal="center" vertical="center" wrapText="1"/>
    </xf>
    <xf numFmtId="0" fontId="8" fillId="7" borderId="10" xfId="14" applyFont="1" applyFill="1" applyBorder="1" applyAlignment="1">
      <alignment horizontal="center" vertical="center" wrapText="1"/>
    </xf>
    <xf numFmtId="0" fontId="8" fillId="7" borderId="6" xfId="14" applyFont="1" applyFill="1" applyBorder="1" applyAlignment="1">
      <alignment horizontal="center" vertical="center" wrapText="1"/>
    </xf>
    <xf numFmtId="0" fontId="8" fillId="4" borderId="4" xfId="31" applyFont="1" applyFill="1" applyBorder="1" applyAlignment="1">
      <alignment horizontal="center" vertical="center" wrapText="1"/>
    </xf>
    <xf numFmtId="164" fontId="7" fillId="0" borderId="4" xfId="69" applyFont="1" applyFill="1" applyBorder="1" applyAlignment="1">
      <alignment horizontal="center" vertical="center"/>
    </xf>
    <xf numFmtId="0" fontId="8" fillId="6" borderId="4" xfId="14" applyFont="1" applyFill="1" applyBorder="1" applyAlignment="1">
      <alignment horizontal="left" vertical="center" wrapText="1"/>
    </xf>
    <xf numFmtId="0" fontId="7" fillId="0" borderId="4" xfId="10" applyFont="1" applyBorder="1" applyAlignment="1">
      <alignment horizontal="center" vertical="top" wrapText="1"/>
    </xf>
    <xf numFmtId="164" fontId="7" fillId="0" borderId="4" xfId="69" applyFont="1" applyFill="1" applyBorder="1" applyAlignment="1">
      <alignment horizontal="center" vertical="center"/>
    </xf>
    <xf numFmtId="164" fontId="7" fillId="0" borderId="4" xfId="69" applyFont="1" applyFill="1" applyBorder="1" applyAlignment="1">
      <alignment horizontal="center" vertical="center"/>
    </xf>
    <xf numFmtId="0" fontId="7" fillId="0" borderId="4" xfId="10" applyFont="1" applyBorder="1" applyAlignment="1">
      <alignment horizontal="right" vertical="top"/>
    </xf>
    <xf numFmtId="0" fontId="7" fillId="0" borderId="4" xfId="10" applyFont="1" applyBorder="1" applyAlignment="1">
      <alignment horizontal="right" vertical="top" wrapText="1"/>
    </xf>
    <xf numFmtId="43" fontId="7" fillId="0" borderId="4" xfId="10" applyNumberFormat="1" applyFont="1" applyBorder="1" applyAlignment="1">
      <alignment vertical="top"/>
    </xf>
    <xf numFmtId="43" fontId="7" fillId="0" borderId="4" xfId="10" applyNumberFormat="1" applyFont="1" applyBorder="1" applyAlignment="1">
      <alignment vertical="top" wrapText="1"/>
    </xf>
    <xf numFmtId="10" fontId="8" fillId="0" borderId="4" xfId="69" applyNumberFormat="1" applyFont="1" applyFill="1" applyBorder="1" applyAlignment="1">
      <alignment vertical="center"/>
    </xf>
    <xf numFmtId="4" fontId="8" fillId="0" borderId="4" xfId="69" applyNumberFormat="1" applyFont="1" applyFill="1" applyBorder="1" applyAlignment="1">
      <alignment vertical="center"/>
    </xf>
    <xf numFmtId="0" fontId="9" fillId="0" borderId="4" xfId="14" applyFont="1" applyFill="1" applyBorder="1">
      <alignment vertical="center"/>
    </xf>
    <xf numFmtId="164" fontId="51" fillId="0" borderId="0" xfId="69" applyFont="1" applyFill="1"/>
    <xf numFmtId="164" fontId="51" fillId="0" borderId="0" xfId="69" applyFont="1"/>
    <xf numFmtId="164" fontId="51" fillId="0" borderId="4" xfId="69" applyFont="1" applyBorder="1" applyAlignment="1">
      <alignment vertical="center"/>
    </xf>
    <xf numFmtId="164" fontId="7" fillId="0" borderId="4" xfId="69" applyFont="1" applyFill="1" applyBorder="1" applyAlignment="1">
      <alignment horizontal="center" vertical="center"/>
    </xf>
    <xf numFmtId="10" fontId="7" fillId="0" borderId="0" xfId="10" applyNumberFormat="1" applyFont="1" applyFill="1" applyAlignment="1">
      <alignment horizontal="center"/>
    </xf>
    <xf numFmtId="164" fontId="7" fillId="0" borderId="4" xfId="69" applyFont="1" applyFill="1" applyBorder="1" applyAlignment="1">
      <alignment horizontal="center" vertical="center"/>
    </xf>
    <xf numFmtId="0" fontId="8" fillId="0" borderId="0" xfId="10" applyFont="1" applyBorder="1" applyAlignment="1">
      <alignment horizontal="center" vertical="center"/>
    </xf>
    <xf numFmtId="0" fontId="8" fillId="7" borderId="4" xfId="10" applyFont="1" applyFill="1" applyBorder="1" applyAlignment="1">
      <alignment horizontal="center" wrapText="1"/>
    </xf>
    <xf numFmtId="0" fontId="8" fillId="7" borderId="5" xfId="10" applyFont="1" applyFill="1" applyBorder="1" applyAlignment="1">
      <alignment horizontal="center" vertical="center" wrapText="1"/>
    </xf>
    <xf numFmtId="10" fontId="8" fillId="0" borderId="0" xfId="10" applyNumberFormat="1" applyFont="1" applyFill="1"/>
    <xf numFmtId="10" fontId="7" fillId="0" borderId="0" xfId="10" applyNumberFormat="1" applyFont="1" applyFill="1"/>
    <xf numFmtId="9" fontId="7" fillId="0" borderId="0" xfId="10" applyNumberFormat="1" applyFont="1" applyBorder="1"/>
    <xf numFmtId="0" fontId="8" fillId="0" borderId="0" xfId="10" applyFont="1" applyBorder="1" applyAlignment="1">
      <alignment horizontal="center" vertical="center"/>
    </xf>
    <xf numFmtId="0" fontId="8" fillId="7" borderId="4" xfId="14" applyFont="1" applyFill="1" applyBorder="1" applyAlignment="1">
      <alignment horizontal="center" vertical="center" wrapText="1"/>
    </xf>
    <xf numFmtId="164" fontId="26" fillId="0" borderId="6" xfId="69" applyFont="1" applyFill="1" applyBorder="1" applyAlignment="1">
      <alignment horizontal="center" vertical="center"/>
    </xf>
    <xf numFmtId="164" fontId="7" fillId="0" borderId="4" xfId="69" applyFont="1" applyFill="1" applyBorder="1" applyAlignment="1">
      <alignment horizontal="center" vertical="center"/>
    </xf>
    <xf numFmtId="0" fontId="8" fillId="7" borderId="4" xfId="10" applyFont="1" applyFill="1" applyBorder="1" applyAlignment="1">
      <alignment horizontal="center" vertical="center"/>
    </xf>
    <xf numFmtId="0" fontId="7" fillId="0" borderId="4" xfId="0" applyFont="1" applyFill="1" applyBorder="1" applyAlignment="1">
      <alignment horizontal="center" vertical="top"/>
    </xf>
    <xf numFmtId="0" fontId="8" fillId="7" borderId="4" xfId="10" applyFont="1" applyFill="1" applyBorder="1" applyAlignment="1">
      <alignment horizontal="center" wrapText="1"/>
    </xf>
    <xf numFmtId="0" fontId="8" fillId="7" borderId="4" xfId="10" applyFont="1" applyFill="1" applyBorder="1" applyAlignment="1">
      <alignment horizontal="center" vertical="center" wrapText="1"/>
    </xf>
    <xf numFmtId="0" fontId="8" fillId="7" borderId="4" xfId="10" applyFont="1" applyFill="1" applyBorder="1" applyAlignment="1">
      <alignment horizontal="center" vertical="center"/>
    </xf>
    <xf numFmtId="0" fontId="8" fillId="7" borderId="7" xfId="14" applyFont="1" applyFill="1" applyBorder="1" applyAlignment="1">
      <alignment horizontal="center" vertical="center" wrapText="1"/>
    </xf>
    <xf numFmtId="0" fontId="8" fillId="7" borderId="10" xfId="14" applyFont="1" applyFill="1" applyBorder="1" applyAlignment="1">
      <alignment horizontal="center" vertical="center" wrapText="1"/>
    </xf>
    <xf numFmtId="0" fontId="8" fillId="7" borderId="6" xfId="14" applyFont="1" applyFill="1" applyBorder="1" applyAlignment="1">
      <alignment horizontal="center" vertical="center" wrapText="1"/>
    </xf>
    <xf numFmtId="0" fontId="8" fillId="7" borderId="0" xfId="10" applyFont="1" applyFill="1" applyAlignment="1">
      <alignment horizontal="center" vertical="center"/>
    </xf>
    <xf numFmtId="164" fontId="8" fillId="0" borderId="4" xfId="69" applyFont="1" applyFill="1" applyBorder="1" applyAlignment="1" applyProtection="1">
      <alignment horizontal="left" vertical="center"/>
    </xf>
    <xf numFmtId="4" fontId="7" fillId="0" borderId="6" xfId="10" applyNumberFormat="1" applyFont="1" applyFill="1" applyBorder="1" applyAlignment="1" applyProtection="1">
      <alignment vertical="center"/>
    </xf>
    <xf numFmtId="164" fontId="8" fillId="0" borderId="4" xfId="69" applyFont="1" applyFill="1" applyBorder="1" applyAlignment="1" applyProtection="1">
      <alignment horizontal="left" vertical="center" wrapText="1"/>
    </xf>
    <xf numFmtId="43" fontId="8" fillId="0" borderId="4" xfId="69" applyNumberFormat="1" applyFont="1" applyFill="1" applyBorder="1" applyAlignment="1">
      <alignment vertical="center"/>
    </xf>
    <xf numFmtId="164" fontId="7" fillId="0" borderId="4" xfId="10" applyNumberFormat="1" applyFont="1" applyFill="1" applyBorder="1" applyAlignment="1" applyProtection="1">
      <alignment horizontal="left" vertical="center"/>
    </xf>
    <xf numFmtId="164" fontId="8" fillId="0" borderId="4" xfId="10" applyNumberFormat="1" applyFont="1" applyFill="1" applyBorder="1" applyAlignment="1" applyProtection="1">
      <alignment horizontal="left" vertical="center"/>
    </xf>
    <xf numFmtId="164" fontId="7" fillId="0" borderId="4" xfId="69" applyFont="1" applyFill="1" applyBorder="1" applyAlignment="1"/>
    <xf numFmtId="2" fontId="7" fillId="0" borderId="4" xfId="10" applyNumberFormat="1" applyFont="1" applyFill="1" applyBorder="1"/>
    <xf numFmtId="0" fontId="8" fillId="4" borderId="4" xfId="14" applyFont="1" applyFill="1" applyBorder="1" applyAlignment="1">
      <alignment horizontal="center" vertical="center" wrapText="1"/>
    </xf>
    <xf numFmtId="164" fontId="7" fillId="0" borderId="4" xfId="69" applyFont="1" applyFill="1" applyBorder="1" applyAlignment="1">
      <alignment horizontal="center" vertical="center"/>
    </xf>
    <xf numFmtId="0" fontId="40" fillId="0" borderId="4" xfId="10" applyFont="1" applyBorder="1" applyAlignment="1">
      <alignment wrapText="1"/>
    </xf>
    <xf numFmtId="0" fontId="40" fillId="0" borderId="0" xfId="10" applyFont="1" applyFill="1" applyBorder="1" applyProtection="1"/>
    <xf numFmtId="0" fontId="0" fillId="0" borderId="20" xfId="0" applyBorder="1"/>
    <xf numFmtId="9" fontId="0" fillId="0" borderId="8" xfId="0" applyNumberFormat="1" applyBorder="1" applyAlignment="1">
      <alignment horizontal="center"/>
    </xf>
    <xf numFmtId="0" fontId="62" fillId="0" borderId="20" xfId="0" applyFont="1" applyBorder="1"/>
    <xf numFmtId="0" fontId="62" fillId="0" borderId="8" xfId="0" applyFont="1" applyBorder="1" applyAlignment="1">
      <alignment horizontal="center"/>
    </xf>
    <xf numFmtId="0" fontId="62" fillId="0" borderId="4" xfId="0" applyFont="1" applyBorder="1"/>
    <xf numFmtId="0" fontId="62" fillId="0" borderId="4" xfId="0" applyFont="1" applyBorder="1" applyAlignment="1">
      <alignment horizontal="center"/>
    </xf>
    <xf numFmtId="0" fontId="31" fillId="0" borderId="4" xfId="0" applyFont="1" applyBorder="1" applyAlignment="1">
      <alignment horizontal="center"/>
    </xf>
    <xf numFmtId="172" fontId="7" fillId="5" borderId="4" xfId="10" applyNumberFormat="1" applyFont="1" applyFill="1" applyBorder="1" applyAlignment="1">
      <alignment horizontal="center"/>
    </xf>
    <xf numFmtId="173" fontId="7" fillId="5" borderId="4" xfId="10" applyNumberFormat="1" applyFont="1" applyFill="1" applyBorder="1" applyAlignment="1">
      <alignment horizontal="center"/>
    </xf>
    <xf numFmtId="43" fontId="30" fillId="0" borderId="4" xfId="0" applyNumberFormat="1" applyFont="1" applyBorder="1"/>
    <xf numFmtId="0" fontId="17" fillId="0" borderId="20" xfId="0" applyFont="1" applyBorder="1"/>
    <xf numFmtId="10" fontId="8" fillId="0" borderId="4" xfId="10" applyNumberFormat="1" applyFont="1" applyBorder="1"/>
    <xf numFmtId="43" fontId="48" fillId="0" borderId="4" xfId="73" applyFont="1" applyFill="1" applyBorder="1"/>
    <xf numFmtId="9" fontId="8" fillId="0" borderId="4" xfId="10" applyNumberFormat="1" applyFont="1" applyBorder="1" applyAlignment="1">
      <alignment horizontal="center"/>
    </xf>
    <xf numFmtId="164" fontId="7" fillId="0" borderId="4" xfId="69" applyFont="1" applyFill="1" applyBorder="1" applyAlignment="1">
      <alignment horizontal="center" vertical="center"/>
    </xf>
    <xf numFmtId="164" fontId="7" fillId="0" borderId="4" xfId="69" applyFont="1" applyFill="1" applyBorder="1" applyAlignment="1">
      <alignment horizontal="center" vertical="center"/>
    </xf>
    <xf numFmtId="164" fontId="8" fillId="14" borderId="0" xfId="69" applyFont="1" applyFill="1" applyAlignment="1">
      <alignment horizontal="left" vertical="top"/>
    </xf>
    <xf numFmtId="43" fontId="8" fillId="14" borderId="0" xfId="10" applyNumberFormat="1" applyFont="1" applyFill="1" applyAlignment="1">
      <alignment horizontal="left" vertical="top"/>
    </xf>
    <xf numFmtId="0" fontId="7" fillId="14" borderId="0" xfId="10" applyFont="1" applyFill="1"/>
    <xf numFmtId="10" fontId="7" fillId="14" borderId="0" xfId="10" applyNumberFormat="1" applyFont="1" applyFill="1"/>
    <xf numFmtId="43" fontId="8" fillId="0" borderId="4" xfId="69" applyNumberFormat="1" applyFont="1" applyFill="1" applyBorder="1" applyAlignment="1">
      <alignment horizontal="center" vertical="center"/>
    </xf>
    <xf numFmtId="0" fontId="8" fillId="7" borderId="4" xfId="14" applyFont="1" applyFill="1" applyBorder="1" applyAlignment="1">
      <alignment horizontal="center" vertical="center" wrapText="1"/>
    </xf>
    <xf numFmtId="0" fontId="8" fillId="7" borderId="4" xfId="10" applyFont="1" applyFill="1" applyBorder="1" applyAlignment="1">
      <alignment horizontal="center" vertical="center" wrapText="1"/>
    </xf>
    <xf numFmtId="0" fontId="8" fillId="7" borderId="4" xfId="10" applyFont="1" applyFill="1" applyBorder="1" applyAlignment="1">
      <alignment horizontal="center" wrapText="1"/>
    </xf>
    <xf numFmtId="164" fontId="9" fillId="0" borderId="0" xfId="69" applyFont="1" applyAlignment="1">
      <alignment vertical="center"/>
    </xf>
    <xf numFmtId="43" fontId="9" fillId="0" borderId="4" xfId="14" applyNumberFormat="1" applyFont="1" applyBorder="1">
      <alignment vertical="center"/>
    </xf>
    <xf numFmtId="0" fontId="12" fillId="7" borderId="4" xfId="14" applyFont="1" applyFill="1" applyBorder="1" applyAlignment="1">
      <alignment horizontal="center" vertical="center" wrapText="1"/>
    </xf>
    <xf numFmtId="0" fontId="8" fillId="7" borderId="4" xfId="10" applyFont="1" applyFill="1" applyBorder="1"/>
    <xf numFmtId="0" fontId="8" fillId="7" borderId="4" xfId="10" applyFont="1" applyFill="1" applyBorder="1" applyAlignment="1">
      <alignment horizontal="center"/>
    </xf>
    <xf numFmtId="181" fontId="9" fillId="0" borderId="4" xfId="70" applyNumberFormat="1" applyFont="1" applyFill="1" applyBorder="1" applyAlignment="1">
      <alignment horizontal="right" vertical="center"/>
    </xf>
    <xf numFmtId="181" fontId="9" fillId="0" borderId="4" xfId="70" applyNumberFormat="1" applyFont="1" applyBorder="1" applyAlignment="1">
      <alignment horizontal="right" vertical="center"/>
    </xf>
    <xf numFmtId="164" fontId="7" fillId="0" borderId="4" xfId="69" applyFont="1" applyFill="1" applyBorder="1" applyAlignment="1">
      <alignment horizontal="center" vertical="center"/>
    </xf>
    <xf numFmtId="164" fontId="51" fillId="0" borderId="4" xfId="29" applyFont="1" applyFill="1" applyBorder="1"/>
    <xf numFmtId="171" fontId="46" fillId="0" borderId="0" xfId="14" applyNumberFormat="1" applyFont="1" applyFill="1">
      <alignment vertical="center"/>
    </xf>
    <xf numFmtId="43" fontId="7" fillId="0" borderId="0" xfId="14" applyNumberFormat="1" applyFont="1" applyBorder="1">
      <alignment vertical="center"/>
    </xf>
    <xf numFmtId="164" fontId="7" fillId="0" borderId="4" xfId="69" applyFont="1" applyFill="1" applyBorder="1" applyAlignment="1">
      <alignment horizontal="center" vertical="center"/>
    </xf>
    <xf numFmtId="0" fontId="8" fillId="4" borderId="4" xfId="14" applyFont="1" applyFill="1" applyBorder="1" applyAlignment="1">
      <alignment horizontal="center" vertical="center" wrapText="1"/>
    </xf>
    <xf numFmtId="0" fontId="8" fillId="4" borderId="8" xfId="14" applyFont="1" applyFill="1" applyBorder="1" applyAlignment="1">
      <alignment horizontal="center" vertical="center" wrapText="1"/>
    </xf>
    <xf numFmtId="164" fontId="12" fillId="0" borderId="4" xfId="69" applyFont="1" applyFill="1" applyBorder="1" applyAlignment="1">
      <alignment vertical="center"/>
    </xf>
    <xf numFmtId="2" fontId="47" fillId="0" borderId="4" xfId="70" applyNumberFormat="1" applyFont="1" applyFill="1" applyBorder="1" applyAlignment="1">
      <alignment wrapText="1"/>
    </xf>
    <xf numFmtId="0" fontId="8" fillId="4" borderId="4" xfId="14" applyFont="1" applyFill="1" applyBorder="1" applyAlignment="1">
      <alignment horizontal="center" vertical="center" wrapText="1"/>
    </xf>
    <xf numFmtId="0" fontId="8" fillId="0" borderId="0" xfId="14" applyFont="1" applyFill="1" applyBorder="1" applyAlignment="1">
      <alignment horizontal="center" vertical="center" wrapText="1"/>
    </xf>
    <xf numFmtId="0" fontId="12" fillId="0" borderId="0" xfId="14" applyFont="1" applyFill="1" applyBorder="1" applyAlignment="1">
      <alignment horizontal="center" vertical="center" wrapText="1"/>
    </xf>
    <xf numFmtId="169" fontId="8" fillId="0" borderId="0" xfId="29" applyNumberFormat="1" applyFont="1" applyFill="1" applyBorder="1"/>
    <xf numFmtId="0" fontId="12" fillId="4" borderId="4" xfId="14" applyFont="1" applyFill="1" applyBorder="1" applyAlignment="1">
      <alignment horizontal="center" vertical="center"/>
    </xf>
    <xf numFmtId="0" fontId="8"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0" fontId="7" fillId="7" borderId="4" xfId="10" applyFont="1" applyFill="1" applyBorder="1" applyAlignment="1">
      <alignment horizontal="center" vertical="center" wrapText="1"/>
    </xf>
    <xf numFmtId="0" fontId="30" fillId="7" borderId="6" xfId="10" applyFont="1" applyFill="1" applyBorder="1" applyAlignment="1">
      <alignment horizontal="center" vertical="center"/>
    </xf>
    <xf numFmtId="0" fontId="30" fillId="7" borderId="6" xfId="10"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0" borderId="0" xfId="14" applyFont="1" applyFill="1" applyBorder="1" applyAlignment="1">
      <alignment horizontal="center" vertical="center" wrapText="1"/>
    </xf>
    <xf numFmtId="0" fontId="12" fillId="7"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4" borderId="4" xfId="14" applyFont="1" applyFill="1" applyBorder="1" applyAlignment="1">
      <alignment vertical="center" wrapText="1"/>
    </xf>
    <xf numFmtId="0" fontId="12" fillId="5" borderId="4" xfId="14" applyFont="1" applyFill="1" applyBorder="1" applyAlignment="1">
      <alignment vertical="center" wrapText="1"/>
    </xf>
    <xf numFmtId="0" fontId="16" fillId="5" borderId="4" xfId="14" quotePrefix="1" applyFont="1" applyFill="1" applyBorder="1" applyAlignment="1">
      <alignment vertical="center" wrapText="1"/>
    </xf>
    <xf numFmtId="0" fontId="16" fillId="5" borderId="4" xfId="14" applyFont="1" applyFill="1" applyBorder="1" applyAlignment="1">
      <alignment vertical="center" wrapText="1"/>
    </xf>
    <xf numFmtId="164" fontId="16" fillId="5" borderId="4" xfId="69" applyFont="1" applyFill="1" applyBorder="1" applyAlignment="1">
      <alignment vertical="center" wrapText="1"/>
    </xf>
    <xf numFmtId="9" fontId="16" fillId="0" borderId="4" xfId="70" applyFont="1" applyFill="1" applyBorder="1" applyAlignment="1">
      <alignment vertical="center" wrapText="1"/>
    </xf>
    <xf numFmtId="10" fontId="16" fillId="5" borderId="4" xfId="70" applyNumberFormat="1" applyFont="1" applyFill="1" applyBorder="1" applyAlignment="1">
      <alignment vertical="center" wrapText="1"/>
    </xf>
    <xf numFmtId="10" fontId="49" fillId="5" borderId="4" xfId="70" applyNumberFormat="1" applyFont="1" applyFill="1" applyBorder="1" applyAlignment="1">
      <alignment vertical="center" wrapText="1"/>
    </xf>
    <xf numFmtId="10" fontId="49" fillId="0" borderId="4" xfId="70" applyNumberFormat="1" applyFont="1" applyFill="1" applyBorder="1" applyAlignment="1">
      <alignment vertical="center" wrapText="1"/>
    </xf>
    <xf numFmtId="10" fontId="16" fillId="0" borderId="4" xfId="40" applyNumberFormat="1" applyFont="1" applyFill="1" applyBorder="1" applyAlignment="1">
      <alignment vertical="center" wrapText="1"/>
    </xf>
    <xf numFmtId="10" fontId="49" fillId="0" borderId="4" xfId="40" applyNumberFormat="1" applyFont="1" applyFill="1" applyBorder="1" applyAlignment="1">
      <alignment vertical="center" wrapText="1"/>
    </xf>
    <xf numFmtId="175" fontId="16" fillId="5" borderId="4" xfId="69" applyNumberFormat="1" applyFont="1" applyFill="1" applyBorder="1" applyAlignment="1">
      <alignment vertical="center" wrapText="1"/>
    </xf>
    <xf numFmtId="9" fontId="16" fillId="6" borderId="4" xfId="70" applyFont="1" applyFill="1" applyBorder="1" applyAlignment="1">
      <alignment vertical="center" wrapText="1"/>
    </xf>
    <xf numFmtId="9" fontId="16" fillId="5" borderId="4" xfId="70" applyFont="1" applyFill="1" applyBorder="1" applyAlignment="1">
      <alignment vertical="center" wrapText="1"/>
    </xf>
    <xf numFmtId="175" fontId="16" fillId="0" borderId="4" xfId="69" applyNumberFormat="1" applyFont="1" applyFill="1" applyBorder="1" applyAlignment="1">
      <alignment vertical="center" wrapText="1"/>
    </xf>
    <xf numFmtId="0" fontId="12" fillId="0" borderId="4" xfId="14" applyFont="1" applyFill="1" applyBorder="1" applyAlignment="1">
      <alignment vertical="center" wrapText="1"/>
    </xf>
    <xf numFmtId="164" fontId="16" fillId="0" borderId="4" xfId="69" applyFont="1" applyFill="1" applyBorder="1" applyAlignment="1">
      <alignment vertical="center" wrapText="1"/>
    </xf>
    <xf numFmtId="164" fontId="16" fillId="0" borderId="4" xfId="29" applyFont="1" applyFill="1" applyBorder="1" applyAlignment="1">
      <alignment vertical="center" wrapText="1"/>
    </xf>
    <xf numFmtId="164" fontId="12" fillId="0" borderId="4" xfId="29" applyFont="1" applyFill="1" applyBorder="1" applyAlignment="1">
      <alignment vertical="center" wrapText="1"/>
    </xf>
    <xf numFmtId="164" fontId="47" fillId="0" borderId="4" xfId="69" applyFont="1" applyFill="1" applyBorder="1" applyAlignment="1">
      <alignment vertical="center" wrapText="1"/>
    </xf>
    <xf numFmtId="164" fontId="12" fillId="0" borderId="4" xfId="69" applyFont="1" applyFill="1" applyBorder="1" applyAlignment="1">
      <alignment vertical="center" wrapText="1"/>
    </xf>
    <xf numFmtId="2" fontId="16" fillId="0" borderId="4" xfId="14" applyNumberFormat="1" applyFont="1" applyFill="1" applyBorder="1" applyAlignment="1">
      <alignment vertical="center" wrapText="1"/>
    </xf>
    <xf numFmtId="175" fontId="16" fillId="0" borderId="4" xfId="70" applyNumberFormat="1" applyFont="1" applyFill="1" applyBorder="1" applyAlignment="1">
      <alignment vertical="center" wrapText="1"/>
    </xf>
    <xf numFmtId="10" fontId="16" fillId="5" borderId="4" xfId="14" applyNumberFormat="1" applyFont="1" applyFill="1" applyBorder="1" applyAlignment="1">
      <alignment vertical="center" wrapText="1"/>
    </xf>
    <xf numFmtId="164" fontId="49" fillId="0" borderId="4" xfId="69" applyFont="1" applyFill="1" applyBorder="1" applyAlignment="1">
      <alignment vertical="center" wrapText="1"/>
    </xf>
    <xf numFmtId="2" fontId="16" fillId="5" borderId="4" xfId="14" applyNumberFormat="1" applyFont="1" applyFill="1" applyBorder="1" applyAlignment="1">
      <alignment vertical="center" wrapText="1"/>
    </xf>
    <xf numFmtId="1" fontId="16" fillId="5" borderId="4" xfId="14" applyNumberFormat="1" applyFont="1" applyFill="1" applyBorder="1" applyAlignment="1">
      <alignment vertical="center" wrapText="1"/>
    </xf>
    <xf numFmtId="0" fontId="16" fillId="0" borderId="0" xfId="10" applyFont="1" applyBorder="1" applyAlignment="1"/>
    <xf numFmtId="0" fontId="12" fillId="0" borderId="0" xfId="14" applyFont="1" applyAlignment="1">
      <alignment vertical="center"/>
    </xf>
    <xf numFmtId="0" fontId="16" fillId="0" borderId="0" xfId="14" applyFont="1" applyAlignment="1">
      <alignment vertical="center"/>
    </xf>
    <xf numFmtId="0" fontId="12" fillId="0" borderId="0" xfId="10" applyFont="1" applyAlignment="1"/>
    <xf numFmtId="0" fontId="16" fillId="0" borderId="0" xfId="10" applyFont="1" applyBorder="1" applyAlignment="1">
      <alignment vertical="top"/>
    </xf>
    <xf numFmtId="164" fontId="12" fillId="5" borderId="4" xfId="69" applyFont="1" applyFill="1" applyBorder="1" applyAlignment="1">
      <alignment vertical="center" wrapText="1"/>
    </xf>
    <xf numFmtId="9" fontId="16" fillId="0" borderId="4" xfId="40" applyFont="1" applyBorder="1" applyAlignment="1">
      <alignment vertical="top"/>
    </xf>
    <xf numFmtId="9" fontId="16" fillId="14" borderId="0" xfId="70" applyFont="1" applyFill="1" applyBorder="1" applyAlignment="1">
      <alignment vertical="top"/>
    </xf>
    <xf numFmtId="9" fontId="16" fillId="0" borderId="0" xfId="70" applyFont="1" applyBorder="1" applyAlignment="1">
      <alignment vertical="top"/>
    </xf>
    <xf numFmtId="9" fontId="16" fillId="0" borderId="0" xfId="70" applyFont="1" applyFill="1" applyBorder="1" applyAlignment="1">
      <alignment vertical="top"/>
    </xf>
    <xf numFmtId="0" fontId="16" fillId="0" borderId="0" xfId="10" applyFont="1" applyFill="1" applyBorder="1" applyAlignment="1">
      <alignment vertical="top"/>
    </xf>
    <xf numFmtId="10" fontId="16" fillId="0" borderId="0" xfId="70" applyNumberFormat="1" applyFont="1" applyFill="1" applyBorder="1" applyAlignment="1">
      <alignment vertical="top"/>
    </xf>
    <xf numFmtId="1" fontId="16" fillId="0" borderId="4" xfId="69" applyNumberFormat="1" applyFont="1" applyFill="1" applyBorder="1" applyAlignment="1">
      <alignment vertical="center" wrapText="1"/>
    </xf>
    <xf numFmtId="1" fontId="16" fillId="10" borderId="4" xfId="69" applyNumberFormat="1" applyFont="1" applyFill="1" applyBorder="1" applyAlignment="1">
      <alignment vertical="center" wrapText="1"/>
    </xf>
    <xf numFmtId="1" fontId="16" fillId="0" borderId="4" xfId="29" applyNumberFormat="1" applyFont="1" applyFill="1" applyBorder="1" applyAlignment="1">
      <alignment vertical="center" wrapText="1"/>
    </xf>
    <xf numFmtId="1" fontId="16" fillId="18" borderId="4" xfId="69" applyNumberFormat="1" applyFont="1" applyFill="1" applyBorder="1" applyAlignment="1">
      <alignment vertical="center" wrapText="1"/>
    </xf>
    <xf numFmtId="164" fontId="16" fillId="10" borderId="4" xfId="69" applyFont="1" applyFill="1" applyBorder="1" applyAlignment="1">
      <alignment vertical="center" wrapText="1"/>
    </xf>
    <xf numFmtId="10" fontId="16" fillId="18" borderId="4" xfId="70" applyNumberFormat="1" applyFont="1" applyFill="1" applyBorder="1" applyAlignment="1">
      <alignment vertical="center" wrapText="1"/>
    </xf>
    <xf numFmtId="0" fontId="12" fillId="5" borderId="0" xfId="14" applyFont="1" applyFill="1" applyBorder="1" applyAlignment="1">
      <alignment vertical="center" wrapText="1"/>
    </xf>
    <xf numFmtId="0" fontId="16" fillId="5" borderId="0" xfId="14" quotePrefix="1" applyFont="1" applyFill="1" applyBorder="1" applyAlignment="1">
      <alignment vertical="center" wrapText="1"/>
    </xf>
    <xf numFmtId="0" fontId="16" fillId="0" borderId="0" xfId="10" applyFont="1" applyAlignment="1"/>
    <xf numFmtId="0" fontId="16" fillId="0" borderId="0" xfId="10" applyFont="1" applyBorder="1" applyAlignment="1">
      <alignment vertical="top" wrapText="1"/>
    </xf>
    <xf numFmtId="0" fontId="64" fillId="0" borderId="0" xfId="10" applyFont="1" applyBorder="1" applyAlignment="1"/>
    <xf numFmtId="0" fontId="12" fillId="0" borderId="0" xfId="10" applyFont="1" applyFill="1" applyBorder="1" applyAlignment="1">
      <alignment vertical="top"/>
    </xf>
    <xf numFmtId="9" fontId="16" fillId="0" borderId="4" xfId="40" applyNumberFormat="1" applyFont="1" applyFill="1" applyBorder="1" applyAlignment="1"/>
    <xf numFmtId="10" fontId="50" fillId="0" borderId="4" xfId="70" applyNumberFormat="1" applyFont="1" applyBorder="1" applyAlignment="1">
      <alignment vertical="center"/>
    </xf>
    <xf numFmtId="10" fontId="16" fillId="10" borderId="4" xfId="70" applyNumberFormat="1" applyFont="1" applyFill="1" applyBorder="1" applyAlignment="1">
      <alignment vertical="center" wrapText="1"/>
    </xf>
    <xf numFmtId="10" fontId="16" fillId="10" borderId="4" xfId="40" applyNumberFormat="1" applyFont="1" applyFill="1" applyBorder="1" applyAlignment="1">
      <alignment vertical="center" wrapText="1"/>
    </xf>
    <xf numFmtId="169" fontId="16" fillId="0" borderId="4" xfId="69" applyNumberFormat="1" applyFont="1" applyFill="1" applyBorder="1" applyAlignment="1">
      <alignment vertical="center" wrapText="1"/>
    </xf>
    <xf numFmtId="2" fontId="50" fillId="0" borderId="4" xfId="0" applyNumberFormat="1" applyFont="1" applyBorder="1" applyAlignment="1">
      <alignment vertical="center"/>
    </xf>
    <xf numFmtId="0" fontId="16" fillId="0" borderId="4" xfId="69" applyNumberFormat="1" applyFont="1" applyFill="1" applyBorder="1" applyAlignment="1">
      <alignment vertical="center" wrapText="1"/>
    </xf>
    <xf numFmtId="164" fontId="16" fillId="0" borderId="4" xfId="29" quotePrefix="1" applyFont="1" applyFill="1" applyBorder="1" applyAlignment="1">
      <alignment vertical="center" wrapText="1"/>
    </xf>
    <xf numFmtId="164" fontId="16" fillId="0" borderId="4" xfId="69" quotePrefix="1" applyFont="1" applyFill="1" applyBorder="1" applyAlignment="1">
      <alignment vertical="center" wrapText="1"/>
    </xf>
    <xf numFmtId="164" fontId="16" fillId="0" borderId="4" xfId="29" quotePrefix="1" applyFont="1" applyFill="1" applyBorder="1" applyAlignment="1">
      <alignment vertical="center"/>
    </xf>
    <xf numFmtId="169" fontId="16" fillId="0" borderId="4" xfId="29" quotePrefix="1" applyNumberFormat="1" applyFont="1" applyFill="1" applyBorder="1" applyAlignment="1">
      <alignment vertical="center" wrapText="1"/>
    </xf>
    <xf numFmtId="43" fontId="16" fillId="0" borderId="4" xfId="29" quotePrefix="1" applyNumberFormat="1" applyFont="1" applyFill="1" applyBorder="1" applyAlignment="1">
      <alignment vertical="center" wrapText="1"/>
    </xf>
    <xf numFmtId="0" fontId="16" fillId="0" borderId="4" xfId="69" quotePrefix="1" applyNumberFormat="1" applyFont="1" applyFill="1" applyBorder="1" applyAlignment="1">
      <alignment vertical="center" wrapText="1"/>
    </xf>
    <xf numFmtId="169" fontId="16" fillId="0" borderId="4" xfId="69" quotePrefix="1" applyNumberFormat="1" applyFont="1" applyFill="1" applyBorder="1" applyAlignment="1">
      <alignment vertical="center" wrapText="1"/>
    </xf>
    <xf numFmtId="43" fontId="16" fillId="0" borderId="4" xfId="69" quotePrefix="1" applyNumberFormat="1" applyFont="1" applyFill="1" applyBorder="1" applyAlignment="1">
      <alignment vertical="center" wrapText="1"/>
    </xf>
    <xf numFmtId="169" fontId="16" fillId="0" borderId="4" xfId="29" applyNumberFormat="1" applyFont="1" applyFill="1" applyBorder="1" applyAlignment="1">
      <alignment vertical="center"/>
    </xf>
    <xf numFmtId="43" fontId="16" fillId="0" borderId="4" xfId="69" applyNumberFormat="1" applyFont="1" applyFill="1" applyBorder="1" applyAlignment="1">
      <alignment vertical="center" wrapText="1"/>
    </xf>
    <xf numFmtId="178" fontId="16" fillId="0" borderId="4" xfId="69" applyNumberFormat="1" applyFont="1" applyFill="1" applyBorder="1" applyAlignment="1">
      <alignment vertical="center" wrapText="1"/>
    </xf>
    <xf numFmtId="43" fontId="16" fillId="0" borderId="4" xfId="29" applyNumberFormat="1" applyFont="1" applyFill="1" applyBorder="1" applyAlignment="1">
      <alignment vertical="center" wrapText="1"/>
    </xf>
    <xf numFmtId="182" fontId="16" fillId="0" borderId="4" xfId="69" applyNumberFormat="1" applyFont="1" applyFill="1" applyBorder="1" applyAlignment="1">
      <alignment vertical="center" wrapText="1"/>
    </xf>
    <xf numFmtId="0" fontId="12" fillId="0" borderId="4" xfId="10" applyFont="1" applyFill="1" applyBorder="1" applyAlignment="1"/>
    <xf numFmtId="164" fontId="12" fillId="0" borderId="4" xfId="29" applyFont="1" applyFill="1" applyBorder="1" applyAlignment="1">
      <alignment vertical="center"/>
    </xf>
    <xf numFmtId="43" fontId="12" fillId="0" borderId="4" xfId="69" applyNumberFormat="1" applyFont="1" applyFill="1" applyBorder="1" applyAlignment="1">
      <alignment vertical="center" wrapText="1"/>
    </xf>
    <xf numFmtId="4" fontId="12" fillId="0" borderId="4" xfId="69" applyNumberFormat="1" applyFont="1" applyFill="1" applyBorder="1" applyAlignment="1">
      <alignment vertical="center" wrapText="1"/>
    </xf>
    <xf numFmtId="0" fontId="12" fillId="0" borderId="4" xfId="69" applyNumberFormat="1" applyFont="1" applyFill="1" applyBorder="1" applyAlignment="1">
      <alignment vertical="center" wrapText="1"/>
    </xf>
    <xf numFmtId="164" fontId="12" fillId="0" borderId="4" xfId="69" applyFont="1" applyFill="1" applyBorder="1" applyAlignment="1"/>
    <xf numFmtId="0" fontId="12" fillId="0" borderId="4" xfId="10" applyFont="1" applyBorder="1" applyAlignment="1"/>
    <xf numFmtId="0" fontId="16" fillId="0" borderId="4" xfId="10" applyFont="1" applyBorder="1" applyAlignment="1"/>
    <xf numFmtId="176" fontId="12" fillId="0" borderId="4" xfId="29" applyNumberFormat="1" applyFont="1" applyFill="1" applyBorder="1" applyAlignment="1"/>
    <xf numFmtId="0" fontId="12" fillId="0" borderId="4" xfId="29" applyNumberFormat="1" applyFont="1" applyFill="1" applyBorder="1" applyAlignment="1"/>
    <xf numFmtId="0" fontId="50" fillId="0" borderId="0" xfId="0" applyFont="1" applyAlignment="1"/>
    <xf numFmtId="0" fontId="16" fillId="6" borderId="4" xfId="14" applyFont="1" applyFill="1" applyBorder="1" applyAlignment="1">
      <alignment horizontal="center" vertical="center" wrapText="1"/>
    </xf>
    <xf numFmtId="0" fontId="12" fillId="0" borderId="4" xfId="14" applyFont="1" applyFill="1" applyBorder="1" applyAlignment="1">
      <alignment horizontal="center" vertical="center"/>
    </xf>
    <xf numFmtId="0" fontId="12" fillId="6" borderId="4" xfId="10" applyFont="1" applyFill="1" applyBorder="1" applyAlignment="1">
      <alignment horizontal="center" vertical="top"/>
    </xf>
    <xf numFmtId="172" fontId="7" fillId="0" borderId="4" xfId="10" applyNumberFormat="1" applyFont="1" applyFill="1" applyBorder="1" applyAlignment="1">
      <alignment horizontal="center"/>
    </xf>
    <xf numFmtId="173" fontId="7" fillId="0" borderId="4" xfId="10" applyNumberFormat="1" applyFont="1" applyFill="1" applyBorder="1" applyAlignment="1">
      <alignment horizontal="center"/>
    </xf>
    <xf numFmtId="173" fontId="7" fillId="0" borderId="4" xfId="10" applyNumberFormat="1" applyFont="1" applyFill="1" applyBorder="1" applyAlignment="1"/>
    <xf numFmtId="9" fontId="8" fillId="0" borderId="4" xfId="10" applyNumberFormat="1" applyFont="1" applyFill="1" applyBorder="1" applyAlignment="1"/>
    <xf numFmtId="172" fontId="7" fillId="0" borderId="4" xfId="10" applyNumberFormat="1" applyFont="1" applyFill="1" applyBorder="1" applyAlignment="1"/>
    <xf numFmtId="0" fontId="16" fillId="0" borderId="4" xfId="10" applyFont="1" applyBorder="1" applyAlignment="1">
      <alignment horizontal="center" vertical="top"/>
    </xf>
    <xf numFmtId="0" fontId="16" fillId="0" borderId="0" xfId="14" applyFont="1" applyAlignment="1"/>
    <xf numFmtId="0" fontId="16" fillId="0" borderId="0" xfId="10" applyFont="1" applyBorder="1" applyAlignment="1">
      <alignment horizontal="center" vertical="top"/>
    </xf>
    <xf numFmtId="0" fontId="16" fillId="0" borderId="0" xfId="14" applyFont="1" applyAlignment="1">
      <alignment horizontal="center" vertical="center"/>
    </xf>
    <xf numFmtId="0" fontId="12" fillId="0" borderId="0" xfId="14" applyFont="1" applyAlignment="1">
      <alignment horizontal="center" vertical="center"/>
    </xf>
    <xf numFmtId="0" fontId="16" fillId="0" borderId="0" xfId="10" applyFont="1" applyBorder="1" applyAlignment="1">
      <alignment vertical="center"/>
    </xf>
    <xf numFmtId="0" fontId="12" fillId="5" borderId="4" xfId="14" quotePrefix="1" applyFont="1" applyFill="1" applyBorder="1" applyAlignment="1">
      <alignment wrapText="1"/>
    </xf>
    <xf numFmtId="0" fontId="12" fillId="5" borderId="4" xfId="14" quotePrefix="1" applyFont="1" applyFill="1" applyBorder="1" applyAlignment="1">
      <alignment vertical="center" wrapText="1"/>
    </xf>
    <xf numFmtId="0" fontId="12" fillId="0" borderId="4" xfId="10" applyFont="1" applyBorder="1" applyAlignment="1">
      <alignment vertical="top"/>
    </xf>
    <xf numFmtId="3" fontId="16" fillId="0" borderId="4" xfId="40" applyNumberFormat="1" applyFont="1" applyFill="1" applyBorder="1" applyAlignment="1">
      <alignment vertical="center"/>
    </xf>
    <xf numFmtId="3" fontId="16" fillId="0" borderId="4" xfId="69" applyNumberFormat="1" applyFont="1" applyFill="1" applyBorder="1" applyAlignment="1">
      <alignment vertical="center" wrapText="1"/>
    </xf>
    <xf numFmtId="169" fontId="16" fillId="10" borderId="4" xfId="29" applyNumberFormat="1" applyFont="1" applyFill="1" applyBorder="1" applyAlignment="1">
      <alignment vertical="center"/>
    </xf>
    <xf numFmtId="169" fontId="15" fillId="0" borderId="4" xfId="29" quotePrefix="1" applyNumberFormat="1" applyFont="1" applyFill="1" applyBorder="1" applyAlignment="1">
      <alignment vertical="center" wrapText="1"/>
    </xf>
    <xf numFmtId="169" fontId="16" fillId="0" borderId="0" xfId="10" applyNumberFormat="1" applyFont="1" applyFill="1" applyBorder="1" applyAlignment="1">
      <alignment vertical="top"/>
    </xf>
    <xf numFmtId="0" fontId="12" fillId="0" borderId="0" xfId="10" applyFont="1" applyFill="1" applyBorder="1" applyAlignment="1"/>
    <xf numFmtId="0" fontId="12" fillId="0" borderId="0" xfId="10" applyFont="1" applyBorder="1" applyAlignment="1"/>
    <xf numFmtId="0" fontId="64" fillId="0" borderId="4" xfId="10" applyFont="1" applyFill="1" applyBorder="1" applyAlignment="1" applyProtection="1"/>
    <xf numFmtId="0" fontId="16" fillId="0" borderId="4" xfId="10" applyFont="1" applyFill="1" applyBorder="1" applyAlignment="1" applyProtection="1"/>
    <xf numFmtId="166" fontId="16" fillId="0" borderId="4" xfId="10" applyNumberFormat="1" applyFont="1" applyFill="1" applyBorder="1" applyAlignment="1" applyProtection="1"/>
    <xf numFmtId="0" fontId="16" fillId="0" borderId="0" xfId="10" applyFont="1" applyFill="1" applyBorder="1" applyAlignment="1"/>
    <xf numFmtId="43" fontId="16" fillId="0" borderId="0" xfId="10" applyNumberFormat="1" applyFont="1" applyFill="1" applyBorder="1" applyAlignment="1"/>
    <xf numFmtId="0" fontId="65" fillId="0" borderId="18" xfId="0" applyFont="1" applyBorder="1" applyAlignment="1">
      <alignment vertical="center"/>
    </xf>
    <xf numFmtId="9" fontId="50" fillId="0" borderId="0" xfId="0" applyNumberFormat="1" applyFont="1" applyAlignment="1"/>
    <xf numFmtId="0" fontId="65" fillId="0" borderId="30" xfId="0" applyFont="1" applyBorder="1" applyAlignment="1">
      <alignment vertical="center"/>
    </xf>
    <xf numFmtId="0" fontId="65" fillId="0" borderId="4" xfId="0" applyFont="1" applyBorder="1" applyAlignment="1">
      <alignment vertical="center" wrapText="1"/>
    </xf>
    <xf numFmtId="10" fontId="50" fillId="21" borderId="0" xfId="0" applyNumberFormat="1" applyFont="1" applyFill="1" applyAlignment="1"/>
    <xf numFmtId="0" fontId="61" fillId="0" borderId="0" xfId="0" applyFont="1" applyAlignment="1"/>
    <xf numFmtId="0" fontId="66" fillId="0" borderId="0" xfId="0" applyFont="1" applyAlignment="1"/>
    <xf numFmtId="164" fontId="12" fillId="0" borderId="4" xfId="69" applyFont="1" applyBorder="1" applyAlignment="1"/>
    <xf numFmtId="0" fontId="64" fillId="0" borderId="0" xfId="10" applyFont="1"/>
    <xf numFmtId="0" fontId="16" fillId="0" borderId="0" xfId="10" applyFont="1"/>
    <xf numFmtId="166" fontId="16" fillId="0" borderId="0" xfId="10" applyNumberFormat="1" applyFont="1" applyAlignment="1">
      <alignment horizontal="center"/>
    </xf>
    <xf numFmtId="0" fontId="12" fillId="0" borderId="0" xfId="10" applyFont="1"/>
    <xf numFmtId="0" fontId="64" fillId="0" borderId="0" xfId="10" applyFont="1" applyAlignment="1">
      <alignment horizontal="left"/>
    </xf>
    <xf numFmtId="0" fontId="64" fillId="0" borderId="0" xfId="10" applyFont="1" applyAlignment="1">
      <alignment horizontal="center"/>
    </xf>
    <xf numFmtId="0" fontId="16" fillId="0" borderId="0" xfId="10" applyFont="1" applyAlignment="1">
      <alignment horizontal="center"/>
    </xf>
    <xf numFmtId="0" fontId="16" fillId="0" borderId="0" xfId="10" applyFont="1" applyAlignment="1">
      <alignment horizontal="left"/>
    </xf>
    <xf numFmtId="0" fontId="16" fillId="0" borderId="0" xfId="10" applyFont="1" applyAlignment="1">
      <alignment horizontal="left" vertical="top"/>
    </xf>
    <xf numFmtId="0" fontId="16" fillId="0" borderId="0" xfId="10" applyFont="1" applyAlignment="1">
      <alignment horizontal="center" vertical="top" wrapText="1"/>
    </xf>
    <xf numFmtId="166" fontId="7" fillId="0" borderId="0" xfId="10" applyNumberFormat="1" applyFont="1"/>
    <xf numFmtId="0" fontId="8" fillId="5" borderId="0" xfId="10" applyFont="1" applyFill="1" applyAlignment="1">
      <alignment vertical="center"/>
    </xf>
    <xf numFmtId="0" fontId="7" fillId="5" borderId="0" xfId="10" applyFont="1" applyFill="1" applyAlignment="1">
      <alignment vertical="center"/>
    </xf>
    <xf numFmtId="0" fontId="8" fillId="16" borderId="4" xfId="14" applyFont="1" applyFill="1" applyBorder="1" applyAlignment="1">
      <alignment horizontal="center" vertical="center" wrapText="1"/>
    </xf>
    <xf numFmtId="0" fontId="8" fillId="16" borderId="4" xfId="10" applyFont="1" applyFill="1" applyBorder="1" applyAlignment="1">
      <alignment horizontal="center" vertical="center" wrapText="1"/>
    </xf>
    <xf numFmtId="0" fontId="8" fillId="16" borderId="4" xfId="10" applyFont="1" applyFill="1" applyBorder="1" applyAlignment="1">
      <alignment horizontal="center" vertical="center"/>
    </xf>
    <xf numFmtId="164" fontId="69" fillId="17" borderId="4" xfId="25" applyFont="1" applyFill="1" applyBorder="1" applyAlignment="1">
      <alignment horizontal="center" vertical="center" wrapText="1"/>
    </xf>
    <xf numFmtId="164" fontId="70" fillId="17" borderId="4" xfId="25" applyFont="1" applyFill="1" applyBorder="1" applyAlignment="1">
      <alignment vertical="center" wrapText="1"/>
    </xf>
    <xf numFmtId="164" fontId="70" fillId="17" borderId="4" xfId="25" applyFont="1" applyFill="1" applyBorder="1" applyAlignment="1">
      <alignment horizontal="left" vertical="center" wrapText="1"/>
    </xf>
    <xf numFmtId="164" fontId="69" fillId="0" borderId="4" xfId="25" applyFont="1" applyBorder="1" applyAlignment="1">
      <alignment horizontal="center" vertical="center" wrapText="1"/>
    </xf>
    <xf numFmtId="164" fontId="70" fillId="0" borderId="4" xfId="25" applyFont="1" applyBorder="1" applyAlignment="1">
      <alignment vertical="center" wrapText="1"/>
    </xf>
    <xf numFmtId="187" fontId="8" fillId="0" borderId="11" xfId="10" applyNumberFormat="1" applyFont="1" applyBorder="1" applyAlignment="1">
      <alignment horizontal="center" vertical="center" wrapText="1"/>
    </xf>
    <xf numFmtId="187" fontId="8" fillId="0" borderId="11" xfId="10" applyNumberFormat="1" applyFont="1" applyBorder="1" applyAlignment="1">
      <alignment vertical="center" wrapText="1"/>
    </xf>
    <xf numFmtId="187" fontId="8" fillId="5" borderId="16" xfId="10" applyNumberFormat="1" applyFont="1" applyFill="1" applyBorder="1" applyAlignment="1">
      <alignment horizontal="center" vertical="center"/>
    </xf>
    <xf numFmtId="187" fontId="8" fillId="5" borderId="16" xfId="10" applyNumberFormat="1" applyFont="1" applyFill="1" applyBorder="1" applyAlignment="1">
      <alignment horizontal="center"/>
    </xf>
    <xf numFmtId="187" fontId="8" fillId="16" borderId="4" xfId="10" applyNumberFormat="1" applyFont="1" applyFill="1" applyBorder="1" applyAlignment="1">
      <alignment horizontal="center" vertical="center" wrapText="1"/>
    </xf>
    <xf numFmtId="0" fontId="8" fillId="16" borderId="4" xfId="58" applyFont="1" applyFill="1" applyBorder="1" applyAlignment="1">
      <alignment horizontal="center" vertical="center" wrapText="1"/>
    </xf>
    <xf numFmtId="0" fontId="8" fillId="6" borderId="4" xfId="10" applyFont="1" applyFill="1" applyBorder="1" applyAlignment="1">
      <alignment horizontal="center" vertical="center"/>
    </xf>
    <xf numFmtId="0" fontId="12" fillId="6" borderId="4" xfId="10" applyFont="1" applyFill="1" applyBorder="1" applyAlignment="1">
      <alignment horizontal="left"/>
    </xf>
    <xf numFmtId="0" fontId="68" fillId="6" borderId="4" xfId="10" applyFont="1" applyFill="1" applyBorder="1" applyAlignment="1">
      <alignment vertical="center"/>
    </xf>
    <xf numFmtId="164" fontId="69" fillId="8" borderId="4" xfId="25" applyFont="1" applyFill="1" applyBorder="1" applyAlignment="1">
      <alignment horizontal="center" vertical="center" wrapText="1"/>
    </xf>
    <xf numFmtId="187" fontId="7" fillId="17" borderId="4" xfId="10" applyNumberFormat="1" applyFont="1" applyFill="1" applyBorder="1" applyAlignment="1">
      <alignment vertical="center"/>
    </xf>
    <xf numFmtId="164" fontId="55" fillId="8" borderId="4" xfId="25" applyFont="1" applyFill="1" applyBorder="1" applyAlignment="1">
      <alignment horizontal="right" vertical="center" wrapText="1"/>
    </xf>
    <xf numFmtId="187" fontId="7" fillId="17" borderId="4" xfId="10" applyNumberFormat="1" applyFont="1" applyFill="1" applyBorder="1" applyAlignment="1">
      <alignment horizontal="center" vertical="center"/>
    </xf>
    <xf numFmtId="187" fontId="7" fillId="17" borderId="4" xfId="10" applyNumberFormat="1" applyFont="1" applyFill="1" applyBorder="1"/>
    <xf numFmtId="164" fontId="70" fillId="8" borderId="4" xfId="25" applyFont="1" applyFill="1" applyBorder="1" applyAlignment="1">
      <alignment vertical="center" wrapText="1"/>
    </xf>
    <xf numFmtId="187" fontId="7" fillId="17" borderId="4" xfId="10" applyNumberFormat="1" applyFont="1" applyFill="1" applyBorder="1" applyAlignment="1">
      <alignment horizontal="center" vertical="center" wrapText="1"/>
    </xf>
    <xf numFmtId="187" fontId="57" fillId="17" borderId="4" xfId="10" applyNumberFormat="1" applyFont="1" applyFill="1" applyBorder="1" applyAlignment="1">
      <alignment horizontal="center" vertical="center"/>
    </xf>
    <xf numFmtId="164" fontId="70" fillId="8" borderId="4" xfId="25" applyFont="1" applyFill="1" applyBorder="1" applyAlignment="1">
      <alignment horizontal="left" vertical="center" wrapText="1"/>
    </xf>
    <xf numFmtId="187" fontId="7" fillId="0" borderId="4" xfId="10" applyNumberFormat="1" applyFont="1" applyBorder="1" applyAlignment="1">
      <alignment horizontal="center" vertical="center"/>
    </xf>
    <xf numFmtId="187" fontId="7" fillId="0" borderId="4" xfId="10" applyNumberFormat="1" applyFont="1" applyBorder="1"/>
    <xf numFmtId="164" fontId="70" fillId="8" borderId="4" xfId="25" applyFont="1" applyFill="1" applyBorder="1" applyAlignment="1">
      <alignment vertical="center"/>
    </xf>
    <xf numFmtId="164" fontId="69" fillId="14" borderId="4" xfId="25" applyFont="1" applyFill="1" applyBorder="1" applyAlignment="1">
      <alignment horizontal="center" vertical="center" wrapText="1"/>
    </xf>
    <xf numFmtId="0" fontId="7" fillId="14" borderId="4" xfId="10" applyFont="1" applyFill="1" applyBorder="1" applyAlignment="1">
      <alignment vertical="center"/>
    </xf>
    <xf numFmtId="187" fontId="7" fillId="14" borderId="4" xfId="10" applyNumberFormat="1" applyFont="1" applyFill="1" applyBorder="1" applyAlignment="1">
      <alignment vertical="center"/>
    </xf>
    <xf numFmtId="164" fontId="70" fillId="14" borderId="4" xfId="25" applyFont="1" applyFill="1" applyBorder="1" applyAlignment="1">
      <alignment horizontal="left" vertical="center" wrapText="1"/>
    </xf>
    <xf numFmtId="187" fontId="7" fillId="14" borderId="4" xfId="10" applyNumberFormat="1" applyFont="1" applyFill="1" applyBorder="1" applyAlignment="1">
      <alignment horizontal="center" vertical="center"/>
    </xf>
    <xf numFmtId="187" fontId="7" fillId="14" borderId="4" xfId="10" applyNumberFormat="1" applyFont="1" applyFill="1" applyBorder="1"/>
    <xf numFmtId="0" fontId="7" fillId="6" borderId="4" xfId="10" applyFont="1" applyFill="1" applyBorder="1" applyAlignment="1">
      <alignment horizontal="center" vertical="center"/>
    </xf>
    <xf numFmtId="0" fontId="7" fillId="6" borderId="4" xfId="10" applyFont="1" applyFill="1" applyBorder="1" applyAlignment="1">
      <alignment horizontal="center"/>
    </xf>
    <xf numFmtId="187" fontId="7" fillId="6" borderId="4" xfId="10" applyNumberFormat="1" applyFont="1" applyFill="1" applyBorder="1" applyAlignment="1">
      <alignment horizontal="center" vertical="center"/>
    </xf>
    <xf numFmtId="0" fontId="74" fillId="6" borderId="4" xfId="10" applyFont="1" applyFill="1" applyBorder="1" applyAlignment="1">
      <alignment horizontal="center" vertical="center" wrapText="1"/>
    </xf>
    <xf numFmtId="0" fontId="77" fillId="6" borderId="4" xfId="10" applyFont="1" applyFill="1" applyBorder="1" applyAlignment="1">
      <alignment horizontal="left" vertical="center" wrapText="1"/>
    </xf>
    <xf numFmtId="187" fontId="74" fillId="6" borderId="4" xfId="10" applyNumberFormat="1" applyFont="1" applyFill="1" applyBorder="1" applyAlignment="1">
      <alignment horizontal="center" vertical="center" wrapText="1"/>
    </xf>
    <xf numFmtId="0" fontId="78" fillId="6" borderId="0" xfId="10" applyFont="1" applyFill="1" applyAlignment="1">
      <alignment vertical="center"/>
    </xf>
    <xf numFmtId="0" fontId="79" fillId="6" borderId="4" xfId="25" applyNumberFormat="1" applyFont="1" applyFill="1" applyBorder="1" applyAlignment="1">
      <alignment horizontal="center" vertical="center" wrapText="1"/>
    </xf>
    <xf numFmtId="0" fontId="78" fillId="0" borderId="4" xfId="10" applyFont="1" applyBorder="1" applyAlignment="1">
      <alignment vertical="center"/>
    </xf>
    <xf numFmtId="187" fontId="78" fillId="0" borderId="4" xfId="10" applyNumberFormat="1" applyFont="1" applyBorder="1" applyAlignment="1">
      <alignment horizontal="center" vertical="center"/>
    </xf>
    <xf numFmtId="0" fontId="78" fillId="0" borderId="4" xfId="10" applyFont="1" applyBorder="1" applyAlignment="1">
      <alignment vertical="center" wrapText="1"/>
    </xf>
    <xf numFmtId="0" fontId="78" fillId="0" borderId="0" xfId="10" applyFont="1" applyAlignment="1">
      <alignment vertical="center"/>
    </xf>
    <xf numFmtId="0" fontId="74" fillId="6" borderId="4" xfId="10" applyFont="1" applyFill="1" applyBorder="1" applyAlignment="1">
      <alignment horizontal="center" vertical="center"/>
    </xf>
    <xf numFmtId="0" fontId="8" fillId="6" borderId="4" xfId="10" applyFont="1" applyFill="1" applyBorder="1" applyAlignment="1">
      <alignment horizontal="left"/>
    </xf>
    <xf numFmtId="0" fontId="7" fillId="6" borderId="4" xfId="10" applyFont="1" applyFill="1" applyBorder="1" applyAlignment="1">
      <alignment wrapText="1"/>
    </xf>
    <xf numFmtId="0" fontId="7" fillId="8" borderId="4" xfId="10" applyFont="1" applyFill="1" applyBorder="1"/>
    <xf numFmtId="0" fontId="7" fillId="8" borderId="4" xfId="10" applyFont="1" applyFill="1" applyBorder="1" applyAlignment="1">
      <alignment horizontal="center"/>
    </xf>
    <xf numFmtId="187" fontId="7" fillId="8" borderId="4" xfId="10" applyNumberFormat="1" applyFont="1" applyFill="1" applyBorder="1" applyAlignment="1">
      <alignment horizontal="center" vertical="center"/>
    </xf>
    <xf numFmtId="0" fontId="57" fillId="6" borderId="4" xfId="10" applyFont="1" applyFill="1" applyBorder="1"/>
    <xf numFmtId="0" fontId="12" fillId="16" borderId="7" xfId="10" applyFont="1" applyFill="1" applyBorder="1" applyAlignment="1">
      <alignment vertical="center"/>
    </xf>
    <xf numFmtId="0" fontId="12" fillId="16" borderId="7" xfId="10" applyFont="1" applyFill="1" applyBorder="1" applyAlignment="1">
      <alignment vertical="center" wrapText="1"/>
    </xf>
    <xf numFmtId="0" fontId="12" fillId="16" borderId="7" xfId="10" applyFont="1" applyFill="1" applyBorder="1" applyAlignment="1">
      <alignment horizontal="center" vertical="center" wrapText="1"/>
    </xf>
    <xf numFmtId="14" fontId="12" fillId="16" borderId="7" xfId="10" applyNumberFormat="1" applyFont="1" applyFill="1" applyBorder="1" applyAlignment="1">
      <alignment horizontal="center" vertical="center" wrapText="1"/>
    </xf>
    <xf numFmtId="0" fontId="7" fillId="0" borderId="7" xfId="10" applyFont="1" applyBorder="1"/>
    <xf numFmtId="187" fontId="8" fillId="0" borderId="0" xfId="15" applyNumberFormat="1" applyFont="1" applyAlignment="1">
      <alignment horizontal="center" vertical="center" wrapText="1"/>
    </xf>
    <xf numFmtId="0" fontId="56" fillId="0" borderId="0" xfId="10" applyFont="1" applyAlignment="1">
      <alignment horizontal="center" vertical="center" wrapText="1"/>
    </xf>
    <xf numFmtId="0" fontId="12" fillId="16" borderId="4" xfId="10" applyFont="1" applyFill="1" applyBorder="1" applyAlignment="1">
      <alignment horizontal="left"/>
    </xf>
    <xf numFmtId="43" fontId="57" fillId="0" borderId="0" xfId="10" applyNumberFormat="1" applyFont="1" applyAlignment="1">
      <alignment vertical="center"/>
    </xf>
    <xf numFmtId="0" fontId="83" fillId="16" borderId="4" xfId="10" applyFont="1" applyFill="1" applyBorder="1" applyAlignment="1">
      <alignment vertical="center"/>
    </xf>
    <xf numFmtId="0" fontId="12" fillId="16" borderId="18" xfId="10" applyFont="1" applyFill="1" applyBorder="1" applyAlignment="1">
      <alignment vertical="center"/>
    </xf>
    <xf numFmtId="0" fontId="12" fillId="16" borderId="19" xfId="10" applyFont="1" applyFill="1" applyBorder="1" applyAlignment="1">
      <alignment vertical="center" wrapText="1"/>
    </xf>
    <xf numFmtId="0" fontId="12" fillId="16" borderId="19" xfId="10" applyFont="1" applyFill="1" applyBorder="1" applyAlignment="1">
      <alignment horizontal="center" vertical="center" wrapText="1"/>
    </xf>
    <xf numFmtId="187" fontId="12" fillId="16" borderId="19" xfId="10" applyNumberFormat="1" applyFont="1" applyFill="1" applyBorder="1" applyAlignment="1">
      <alignment horizontal="center" vertical="center" wrapText="1"/>
    </xf>
    <xf numFmtId="0" fontId="24" fillId="0" borderId="0" xfId="10" applyFont="1" applyAlignment="1">
      <alignment vertical="center"/>
    </xf>
    <xf numFmtId="187" fontId="7" fillId="0" borderId="0" xfId="10" applyNumberFormat="1" applyFont="1" applyAlignment="1">
      <alignment horizontal="center" vertical="center" wrapText="1"/>
    </xf>
    <xf numFmtId="43" fontId="7" fillId="0" borderId="4" xfId="83" applyFont="1" applyFill="1" applyBorder="1" applyAlignment="1">
      <alignment horizontal="right" vertical="center"/>
    </xf>
    <xf numFmtId="10" fontId="7" fillId="0" borderId="4" xfId="14" applyNumberFormat="1" applyFont="1" applyBorder="1">
      <alignment vertical="center"/>
    </xf>
    <xf numFmtId="164" fontId="7" fillId="0" borderId="4" xfId="69" applyNumberFormat="1" applyFont="1" applyBorder="1" applyAlignment="1">
      <alignment vertical="center"/>
    </xf>
    <xf numFmtId="164" fontId="7" fillId="0" borderId="4" xfId="69" applyNumberFormat="1" applyFont="1" applyFill="1" applyBorder="1" applyAlignment="1">
      <alignment vertical="center"/>
    </xf>
    <xf numFmtId="0" fontId="46" fillId="0" borderId="0" xfId="14" applyFont="1">
      <alignment vertical="center"/>
    </xf>
    <xf numFmtId="43" fontId="46" fillId="0" borderId="0" xfId="14" applyNumberFormat="1" applyFont="1">
      <alignment vertical="center"/>
    </xf>
    <xf numFmtId="3" fontId="16" fillId="0" borderId="4" xfId="69" quotePrefix="1" applyNumberFormat="1" applyFont="1" applyFill="1" applyBorder="1" applyAlignment="1">
      <alignment vertical="center" wrapText="1"/>
    </xf>
    <xf numFmtId="0" fontId="8" fillId="4" borderId="4" xfId="14" applyFont="1" applyFill="1" applyBorder="1" applyAlignment="1">
      <alignment horizontal="center" vertical="center" wrapText="1"/>
    </xf>
    <xf numFmtId="0" fontId="8" fillId="4" borderId="5"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Alignment="1">
      <alignment horizontal="center" vertical="center"/>
    </xf>
    <xf numFmtId="0" fontId="28" fillId="0" borderId="0" xfId="14" applyFont="1">
      <alignment vertical="center"/>
    </xf>
    <xf numFmtId="0" fontId="31" fillId="0" borderId="4" xfId="86" applyFont="1" applyBorder="1" applyAlignment="1">
      <alignment vertical="center"/>
    </xf>
    <xf numFmtId="0" fontId="31" fillId="0" borderId="4" xfId="86" applyFont="1" applyBorder="1" applyAlignment="1">
      <alignment horizontal="center" vertical="center"/>
    </xf>
    <xf numFmtId="0" fontId="30" fillId="0" borderId="4" xfId="86" applyFont="1" applyBorder="1" applyAlignment="1">
      <alignment vertical="center"/>
    </xf>
    <xf numFmtId="0" fontId="30" fillId="0" borderId="4" xfId="86" applyFont="1" applyBorder="1" applyAlignment="1">
      <alignment horizontal="center" vertical="center"/>
    </xf>
    <xf numFmtId="0" fontId="30" fillId="0" borderId="0" xfId="86" applyFont="1" applyAlignment="1">
      <alignment vertical="center"/>
    </xf>
    <xf numFmtId="0" fontId="30" fillId="0" borderId="0" xfId="86" applyFont="1" applyAlignment="1">
      <alignment horizontal="center" vertical="center"/>
    </xf>
    <xf numFmtId="0" fontId="7" fillId="0" borderId="0" xfId="15" applyFont="1">
      <alignment vertical="center"/>
    </xf>
    <xf numFmtId="0" fontId="7" fillId="0" borderId="0" xfId="14" applyFont="1" applyAlignment="1">
      <alignment vertical="center" wrapText="1"/>
    </xf>
    <xf numFmtId="164" fontId="9" fillId="0" borderId="4" xfId="87" applyNumberFormat="1" applyFont="1" applyFill="1" applyBorder="1" applyAlignment="1">
      <alignment vertical="center"/>
    </xf>
    <xf numFmtId="164" fontId="10" fillId="0" borderId="4" xfId="87" applyNumberFormat="1" applyFont="1" applyBorder="1" applyAlignment="1">
      <alignment vertical="center"/>
    </xf>
    <xf numFmtId="43" fontId="8" fillId="0" borderId="0" xfId="10" applyNumberFormat="1" applyFont="1" applyFill="1" applyBorder="1" applyAlignment="1" applyProtection="1">
      <alignment horizontal="left" vertical="center" wrapText="1"/>
    </xf>
    <xf numFmtId="43" fontId="8" fillId="0" borderId="0" xfId="10" applyNumberFormat="1" applyFont="1" applyFill="1" applyBorder="1" applyAlignment="1" applyProtection="1">
      <alignment horizontal="left" vertical="center"/>
    </xf>
    <xf numFmtId="43" fontId="8" fillId="0" borderId="0" xfId="10" applyNumberFormat="1" applyFont="1" applyBorder="1" applyAlignment="1">
      <alignment vertical="center"/>
    </xf>
    <xf numFmtId="164" fontId="7" fillId="0" borderId="0" xfId="69" applyFont="1" applyBorder="1" applyAlignment="1">
      <alignment vertical="top"/>
    </xf>
    <xf numFmtId="164" fontId="8" fillId="0" borderId="0" xfId="69" applyFont="1" applyBorder="1" applyAlignment="1"/>
    <xf numFmtId="164" fontId="8" fillId="0" borderId="0" xfId="69" applyFont="1" applyAlignment="1">
      <alignment vertical="center"/>
    </xf>
    <xf numFmtId="164" fontId="46" fillId="0" borderId="0" xfId="69" applyFont="1" applyAlignment="1">
      <alignment vertical="center"/>
    </xf>
    <xf numFmtId="0" fontId="86" fillId="0" borderId="0" xfId="10" applyFont="1" applyBorder="1" applyAlignment="1"/>
    <xf numFmtId="0" fontId="65" fillId="0" borderId="4" xfId="0" applyFont="1" applyFill="1" applyBorder="1" applyAlignment="1">
      <alignment vertical="center" wrapText="1"/>
    </xf>
    <xf numFmtId="0" fontId="16" fillId="0" borderId="4" xfId="10" applyFont="1" applyFill="1" applyBorder="1" applyAlignment="1"/>
    <xf numFmtId="0" fontId="66" fillId="0" borderId="4" xfId="0" applyFont="1" applyFill="1" applyBorder="1" applyAlignment="1"/>
    <xf numFmtId="171" fontId="66" fillId="0" borderId="4" xfId="0" applyNumberFormat="1" applyFont="1" applyFill="1" applyBorder="1" applyAlignment="1"/>
    <xf numFmtId="164" fontId="66" fillId="0" borderId="4" xfId="69" applyFont="1" applyFill="1" applyBorder="1" applyAlignment="1"/>
    <xf numFmtId="10" fontId="66" fillId="0" borderId="4" xfId="70" applyNumberFormat="1" applyFont="1" applyFill="1" applyBorder="1" applyAlignment="1"/>
    <xf numFmtId="9" fontId="66" fillId="0" borderId="4" xfId="0" applyNumberFormat="1" applyFont="1" applyFill="1" applyBorder="1" applyAlignment="1"/>
    <xf numFmtId="2" fontId="66" fillId="0" borderId="4" xfId="0" applyNumberFormat="1" applyFont="1" applyFill="1" applyBorder="1" applyAlignment="1"/>
    <xf numFmtId="164" fontId="65" fillId="0" borderId="4" xfId="69" applyFont="1" applyFill="1" applyBorder="1" applyAlignment="1"/>
    <xf numFmtId="0" fontId="66" fillId="0" borderId="0" xfId="0" applyFont="1" applyFill="1" applyAlignment="1"/>
    <xf numFmtId="43" fontId="66" fillId="0" borderId="4" xfId="0" applyNumberFormat="1" applyFont="1" applyFill="1" applyBorder="1" applyAlignment="1"/>
    <xf numFmtId="10" fontId="8" fillId="0" borderId="4" xfId="29" applyNumberFormat="1" applyFont="1" applyFill="1" applyBorder="1" applyAlignment="1">
      <alignment vertical="center"/>
    </xf>
    <xf numFmtId="164" fontId="46" fillId="0" borderId="0" xfId="69" applyFont="1" applyFill="1" applyAlignment="1">
      <alignment vertical="center"/>
    </xf>
    <xf numFmtId="0" fontId="12" fillId="0" borderId="0" xfId="10" applyFont="1" applyAlignment="1">
      <alignment vertical="center"/>
    </xf>
    <xf numFmtId="0" fontId="8" fillId="7" borderId="4" xfId="10" applyFont="1" applyFill="1" applyBorder="1" applyAlignment="1">
      <alignment horizontal="center" vertical="center" wrapText="1"/>
    </xf>
    <xf numFmtId="0" fontId="8" fillId="0" borderId="0" xfId="10" applyFont="1" applyAlignment="1">
      <alignment horizontal="center" vertical="center" wrapText="1"/>
    </xf>
    <xf numFmtId="0" fontId="8" fillId="0" borderId="11" xfId="10" applyFont="1" applyBorder="1" applyAlignment="1">
      <alignment horizontal="center" vertical="center" wrapText="1"/>
    </xf>
    <xf numFmtId="0" fontId="8" fillId="0" borderId="0" xfId="10" applyFont="1" applyAlignment="1">
      <alignment horizontal="center" vertical="center"/>
    </xf>
    <xf numFmtId="175" fontId="7" fillId="0" borderId="0" xfId="69" applyNumberFormat="1" applyFont="1" applyBorder="1" applyAlignment="1">
      <alignment horizontal="center" vertical="center"/>
    </xf>
    <xf numFmtId="164" fontId="7" fillId="0" borderId="0" xfId="69" applyFont="1" applyBorder="1"/>
    <xf numFmtId="164" fontId="10" fillId="0" borderId="0" xfId="69" applyFont="1" applyBorder="1" applyAlignment="1">
      <alignment vertical="center" wrapText="1"/>
    </xf>
    <xf numFmtId="0" fontId="10" fillId="0" borderId="0" xfId="15" applyFont="1" applyAlignment="1">
      <alignment vertical="center" wrapText="1"/>
    </xf>
    <xf numFmtId="0" fontId="8" fillId="0" borderId="0" xfId="15" applyFont="1" applyAlignment="1">
      <alignment horizontal="center" vertical="center"/>
    </xf>
    <xf numFmtId="0" fontId="10" fillId="0" borderId="0" xfId="15" applyFont="1" applyAlignment="1">
      <alignment horizontal="center" vertical="center"/>
    </xf>
    <xf numFmtId="164" fontId="10" fillId="0" borderId="0" xfId="69" applyFont="1" applyBorder="1" applyAlignment="1">
      <alignment horizontal="center" vertical="center"/>
    </xf>
    <xf numFmtId="0" fontId="10" fillId="0" borderId="0" xfId="10" applyFont="1" applyAlignment="1">
      <alignment vertical="center" wrapText="1"/>
    </xf>
    <xf numFmtId="0" fontId="10" fillId="0" borderId="0" xfId="10" applyFont="1" applyAlignment="1">
      <alignment horizontal="center" vertical="top"/>
    </xf>
    <xf numFmtId="164" fontId="10" fillId="0" borderId="0" xfId="69" applyFont="1" applyBorder="1" applyAlignment="1">
      <alignment horizontal="center" vertical="top"/>
    </xf>
    <xf numFmtId="164" fontId="13" fillId="5" borderId="0" xfId="69" applyFont="1" applyFill="1" applyBorder="1" applyAlignment="1">
      <alignment horizontal="left"/>
    </xf>
    <xf numFmtId="164" fontId="8" fillId="5" borderId="0" xfId="69" applyFont="1" applyFill="1" applyBorder="1" applyAlignment="1">
      <alignment vertical="center" wrapText="1"/>
    </xf>
    <xf numFmtId="0" fontId="8" fillId="5" borderId="0" xfId="10" applyFont="1" applyFill="1" applyAlignment="1">
      <alignment vertical="center" wrapText="1"/>
    </xf>
    <xf numFmtId="0" fontId="8" fillId="5" borderId="0" xfId="10" applyFont="1" applyFill="1" applyAlignment="1">
      <alignment horizontal="center" vertical="center"/>
    </xf>
    <xf numFmtId="0" fontId="8" fillId="5" borderId="0" xfId="10" applyFont="1" applyFill="1" applyAlignment="1">
      <alignment horizontal="center"/>
    </xf>
    <xf numFmtId="164" fontId="8" fillId="0" borderId="0" xfId="69" applyFont="1" applyFill="1" applyBorder="1" applyAlignment="1">
      <alignment horizontal="center"/>
    </xf>
    <xf numFmtId="164" fontId="8" fillId="7" borderId="4" xfId="69" applyFont="1" applyFill="1" applyBorder="1" applyAlignment="1">
      <alignment horizontal="center" vertical="center" wrapText="1"/>
    </xf>
    <xf numFmtId="175" fontId="8" fillId="16" borderId="4" xfId="69" applyNumberFormat="1" applyFont="1" applyFill="1" applyBorder="1" applyAlignment="1">
      <alignment horizontal="center" vertical="center" wrapText="1"/>
    </xf>
    <xf numFmtId="164" fontId="8" fillId="16" borderId="4" xfId="69" applyFont="1" applyFill="1" applyBorder="1" applyAlignment="1">
      <alignment horizontal="center" vertical="center" wrapText="1"/>
    </xf>
    <xf numFmtId="175" fontId="8" fillId="0" borderId="4" xfId="69" applyNumberFormat="1" applyFont="1" applyFill="1" applyBorder="1" applyAlignment="1">
      <alignment horizontal="center" vertical="center"/>
    </xf>
    <xf numFmtId="164" fontId="67" fillId="0" borderId="4" xfId="69" applyFont="1" applyFill="1" applyBorder="1" applyAlignment="1">
      <alignment wrapText="1"/>
    </xf>
    <xf numFmtId="0" fontId="68" fillId="0" borderId="4" xfId="10" applyFont="1" applyBorder="1" applyAlignment="1">
      <alignment vertical="center"/>
    </xf>
    <xf numFmtId="0" fontId="69" fillId="17" borderId="4" xfId="0" applyFont="1" applyFill="1" applyBorder="1" applyAlignment="1">
      <alignment horizontal="center" vertical="center" wrapText="1"/>
    </xf>
    <xf numFmtId="0" fontId="69" fillId="17" borderId="4" xfId="0" applyFont="1" applyFill="1" applyBorder="1" applyAlignment="1">
      <alignment vertical="center" wrapText="1"/>
    </xf>
    <xf numFmtId="179" fontId="69" fillId="17" borderId="4" xfId="0" applyNumberFormat="1" applyFont="1" applyFill="1" applyBorder="1" applyAlignment="1">
      <alignment horizontal="center" vertical="center" wrapText="1"/>
    </xf>
    <xf numFmtId="164" fontId="7" fillId="17" borderId="4" xfId="69" applyFont="1" applyFill="1" applyBorder="1"/>
    <xf numFmtId="0" fontId="7" fillId="17" borderId="0" xfId="10" applyFont="1" applyFill="1"/>
    <xf numFmtId="0" fontId="55" fillId="17" borderId="4" xfId="0" applyFont="1" applyFill="1" applyBorder="1" applyAlignment="1">
      <alignment horizontal="center" vertical="center" wrapText="1"/>
    </xf>
    <xf numFmtId="0" fontId="70" fillId="17" borderId="4" xfId="0" applyFont="1" applyFill="1" applyBorder="1" applyAlignment="1">
      <alignment horizontal="left" vertical="center" wrapText="1" indent="2"/>
    </xf>
    <xf numFmtId="14" fontId="55" fillId="17" borderId="4" xfId="0" applyNumberFormat="1" applyFont="1" applyFill="1" applyBorder="1" applyAlignment="1">
      <alignment horizontal="center" vertical="center" wrapText="1"/>
    </xf>
    <xf numFmtId="164" fontId="55" fillId="17" borderId="4" xfId="69" applyFont="1" applyFill="1" applyBorder="1" applyAlignment="1">
      <alignment horizontal="right" vertical="center" wrapText="1"/>
    </xf>
    <xf numFmtId="179" fontId="55" fillId="17" borderId="4" xfId="0" applyNumberFormat="1" applyFont="1" applyFill="1" applyBorder="1" applyAlignment="1">
      <alignment horizontal="center" vertical="center" wrapText="1"/>
    </xf>
    <xf numFmtId="0" fontId="70" fillId="17" borderId="4" xfId="0" applyFont="1" applyFill="1" applyBorder="1" applyAlignment="1">
      <alignment horizontal="center" vertical="center" wrapText="1"/>
    </xf>
    <xf numFmtId="179" fontId="70" fillId="17" borderId="4" xfId="0" applyNumberFormat="1" applyFont="1" applyFill="1" applyBorder="1" applyAlignment="1">
      <alignment horizontal="center" vertical="center" wrapText="1"/>
    </xf>
    <xf numFmtId="2" fontId="70" fillId="17" borderId="4" xfId="0" applyNumberFormat="1" applyFont="1" applyFill="1" applyBorder="1" applyAlignment="1">
      <alignment horizontal="center" vertical="center" wrapText="1"/>
    </xf>
    <xf numFmtId="0" fontId="55" fillId="17" borderId="4" xfId="0" applyFont="1" applyFill="1" applyBorder="1" applyAlignment="1">
      <alignment horizontal="left" vertical="center" wrapText="1" indent="2"/>
    </xf>
    <xf numFmtId="0" fontId="71" fillId="17" borderId="4" xfId="0" applyFont="1" applyFill="1" applyBorder="1" applyAlignment="1">
      <alignment horizontal="center" vertical="center" wrapText="1"/>
    </xf>
    <xf numFmtId="179" fontId="71" fillId="17" borderId="4" xfId="0" applyNumberFormat="1" applyFont="1" applyFill="1" applyBorder="1" applyAlignment="1">
      <alignment horizontal="center" vertical="center" wrapText="1"/>
    </xf>
    <xf numFmtId="0" fontId="70" fillId="17" borderId="4" xfId="0" applyFont="1" applyFill="1" applyBorder="1" applyAlignment="1">
      <alignment horizontal="left" wrapText="1" indent="2"/>
    </xf>
    <xf numFmtId="179" fontId="70" fillId="17" borderId="4" xfId="0" applyNumberFormat="1" applyFont="1" applyFill="1" applyBorder="1" applyAlignment="1">
      <alignment horizontal="center" vertical="center"/>
    </xf>
    <xf numFmtId="0" fontId="69" fillId="6" borderId="4" xfId="0" applyFont="1" applyFill="1" applyBorder="1" applyAlignment="1">
      <alignment horizontal="center" vertical="center" wrapText="1"/>
    </xf>
    <xf numFmtId="0" fontId="69" fillId="6" borderId="4" xfId="0" applyFont="1" applyFill="1" applyBorder="1" applyAlignment="1">
      <alignment vertical="center" wrapText="1"/>
    </xf>
    <xf numFmtId="0" fontId="71" fillId="0" borderId="4" xfId="0" applyFont="1" applyBorder="1" applyAlignment="1">
      <alignment horizontal="center" vertical="center" wrapText="1"/>
    </xf>
    <xf numFmtId="0" fontId="70" fillId="0" borderId="4" xfId="0" applyFont="1" applyBorder="1" applyAlignment="1">
      <alignment horizontal="center" vertical="center" wrapText="1"/>
    </xf>
    <xf numFmtId="179" fontId="71" fillId="0" borderId="4" xfId="0" applyNumberFormat="1" applyFont="1" applyBorder="1" applyAlignment="1">
      <alignment horizontal="center" vertical="center" wrapText="1"/>
    </xf>
    <xf numFmtId="164" fontId="55" fillId="0" borderId="4" xfId="69" applyFont="1" applyBorder="1" applyAlignment="1">
      <alignment horizontal="right" vertical="center" wrapText="1"/>
    </xf>
    <xf numFmtId="0" fontId="70" fillId="6" borderId="4" xfId="0" applyFont="1" applyFill="1" applyBorder="1" applyAlignment="1">
      <alignment horizontal="center" vertical="center" wrapText="1"/>
    </xf>
    <xf numFmtId="0" fontId="55" fillId="6" borderId="4" xfId="0" applyFont="1" applyFill="1" applyBorder="1" applyAlignment="1">
      <alignment horizontal="left" vertical="center" wrapText="1" indent="2"/>
    </xf>
    <xf numFmtId="179" fontId="70" fillId="0" borderId="4" xfId="0" applyNumberFormat="1" applyFont="1" applyBorder="1" applyAlignment="1">
      <alignment horizontal="center" vertical="center"/>
    </xf>
    <xf numFmtId="0" fontId="55" fillId="6" borderId="4" xfId="0" applyFont="1" applyFill="1" applyBorder="1" applyAlignment="1">
      <alignment horizontal="center" vertical="center" wrapText="1"/>
    </xf>
    <xf numFmtId="0" fontId="10" fillId="0" borderId="0" xfId="10" applyFont="1" applyAlignment="1">
      <alignment horizontal="center" vertical="center"/>
    </xf>
    <xf numFmtId="164" fontId="8" fillId="4" borderId="4" xfId="69" applyFont="1" applyFill="1" applyBorder="1" applyAlignment="1">
      <alignment horizontal="center" vertical="center" wrapText="1"/>
    </xf>
    <xf numFmtId="164" fontId="8" fillId="0" borderId="0" xfId="69" applyFont="1" applyAlignment="1">
      <alignment vertical="center" wrapText="1"/>
    </xf>
    <xf numFmtId="164" fontId="10" fillId="0" borderId="0" xfId="69" applyFont="1" applyAlignment="1">
      <alignment horizontal="center" vertical="center"/>
    </xf>
    <xf numFmtId="187" fontId="8" fillId="0" borderId="0" xfId="10" applyNumberFormat="1" applyFont="1" applyAlignment="1">
      <alignment horizontal="center" vertical="center" wrapText="1"/>
    </xf>
    <xf numFmtId="164" fontId="8" fillId="0" borderId="0" xfId="69" applyFont="1" applyBorder="1" applyAlignment="1">
      <alignment vertical="center" wrapText="1"/>
    </xf>
    <xf numFmtId="0" fontId="13" fillId="5" borderId="0" xfId="10" applyFont="1" applyFill="1" applyAlignment="1">
      <alignment horizontal="left" vertical="center" wrapText="1"/>
    </xf>
    <xf numFmtId="0" fontId="8" fillId="5" borderId="0" xfId="10" applyFont="1" applyFill="1" applyAlignment="1">
      <alignment horizontal="center" vertical="center" wrapText="1"/>
    </xf>
    <xf numFmtId="187" fontId="8" fillId="5" borderId="0" xfId="10" applyNumberFormat="1" applyFont="1" applyFill="1" applyAlignment="1">
      <alignment horizontal="center" vertical="center" wrapText="1"/>
    </xf>
    <xf numFmtId="164" fontId="8" fillId="5" borderId="0" xfId="69" applyFont="1" applyFill="1" applyBorder="1" applyAlignment="1">
      <alignment horizontal="center" vertical="center"/>
    </xf>
    <xf numFmtId="164" fontId="8" fillId="0" borderId="0" xfId="69" applyFont="1" applyFill="1" applyBorder="1" applyAlignment="1">
      <alignment horizontal="center" vertical="center"/>
    </xf>
    <xf numFmtId="0" fontId="8" fillId="0" borderId="4" xfId="10" applyFont="1" applyBorder="1" applyAlignment="1">
      <alignment vertical="center"/>
    </xf>
    <xf numFmtId="0" fontId="8" fillId="0" borderId="4" xfId="10" applyFont="1" applyBorder="1" applyAlignment="1">
      <alignment horizontal="center" vertical="center" wrapText="1"/>
    </xf>
    <xf numFmtId="187" fontId="8" fillId="0" borderId="4" xfId="10" applyNumberFormat="1" applyFont="1" applyBorder="1" applyAlignment="1">
      <alignment horizontal="center" vertical="center" wrapText="1"/>
    </xf>
    <xf numFmtId="0" fontId="57" fillId="0" borderId="0" xfId="10" applyFont="1" applyAlignment="1">
      <alignment vertical="center"/>
    </xf>
    <xf numFmtId="0" fontId="24" fillId="0" borderId="4" xfId="10" applyFont="1" applyBorder="1" applyAlignment="1">
      <alignment horizontal="center" vertical="center" wrapText="1"/>
    </xf>
    <xf numFmtId="187" fontId="24" fillId="0" borderId="4" xfId="10" applyNumberFormat="1" applyFont="1" applyBorder="1" applyAlignment="1">
      <alignment horizontal="center" vertical="center" wrapText="1"/>
    </xf>
    <xf numFmtId="187" fontId="69" fillId="17" borderId="4" xfId="0" applyNumberFormat="1" applyFont="1" applyFill="1" applyBorder="1" applyAlignment="1">
      <alignment horizontal="center" vertical="center" wrapText="1"/>
    </xf>
    <xf numFmtId="164" fontId="69" fillId="17" borderId="4" xfId="69" applyFont="1" applyFill="1" applyBorder="1" applyAlignment="1">
      <alignment horizontal="center" vertical="center" wrapText="1"/>
    </xf>
    <xf numFmtId="164" fontId="57" fillId="0" borderId="0" xfId="69" applyFont="1" applyFill="1" applyAlignment="1">
      <alignment vertical="center"/>
    </xf>
    <xf numFmtId="187" fontId="55" fillId="17" borderId="4" xfId="0" applyNumberFormat="1" applyFont="1" applyFill="1" applyBorder="1" applyAlignment="1">
      <alignment horizontal="center" vertical="center" wrapText="1"/>
    </xf>
    <xf numFmtId="164" fontId="70" fillId="17" borderId="4" xfId="69" applyFont="1" applyFill="1" applyBorder="1" applyAlignment="1">
      <alignment vertical="center" wrapText="1"/>
    </xf>
    <xf numFmtId="187" fontId="70" fillId="17" borderId="4" xfId="0" applyNumberFormat="1" applyFont="1" applyFill="1" applyBorder="1" applyAlignment="1">
      <alignment horizontal="center" vertical="center" wrapText="1"/>
    </xf>
    <xf numFmtId="164" fontId="70" fillId="17" borderId="4" xfId="69" applyFont="1" applyFill="1" applyBorder="1" applyAlignment="1">
      <alignment horizontal="left" vertical="center" wrapText="1"/>
    </xf>
    <xf numFmtId="164" fontId="71" fillId="17" borderId="4" xfId="69" applyFont="1" applyFill="1" applyBorder="1" applyAlignment="1">
      <alignment vertical="center" wrapText="1"/>
    </xf>
    <xf numFmtId="187" fontId="70" fillId="17" borderId="4" xfId="0" applyNumberFormat="1" applyFont="1" applyFill="1" applyBorder="1" applyAlignment="1">
      <alignment horizontal="center" vertical="center"/>
    </xf>
    <xf numFmtId="0" fontId="69" fillId="0" borderId="4" xfId="0" applyFont="1" applyBorder="1" applyAlignment="1">
      <alignment horizontal="center" vertical="center" wrapText="1"/>
    </xf>
    <xf numFmtId="187" fontId="69" fillId="0" borderId="4" xfId="0" applyNumberFormat="1" applyFont="1" applyBorder="1" applyAlignment="1">
      <alignment horizontal="center" vertical="center" wrapText="1"/>
    </xf>
    <xf numFmtId="164" fontId="69" fillId="0" borderId="4" xfId="69" applyFont="1" applyBorder="1" applyAlignment="1">
      <alignment horizontal="center" vertical="center" wrapText="1"/>
    </xf>
    <xf numFmtId="164" fontId="71" fillId="0" borderId="4" xfId="69" applyFont="1" applyBorder="1" applyAlignment="1">
      <alignment vertical="center" wrapText="1"/>
    </xf>
    <xf numFmtId="187" fontId="70" fillId="0" borderId="4" xfId="0" applyNumberFormat="1" applyFont="1" applyBorder="1" applyAlignment="1">
      <alignment horizontal="center" vertical="center"/>
    </xf>
    <xf numFmtId="164" fontId="70" fillId="0" borderId="4" xfId="69" applyFont="1" applyBorder="1" applyAlignment="1">
      <alignment vertical="center" wrapText="1"/>
    </xf>
    <xf numFmtId="164" fontId="12" fillId="16" borderId="19" xfId="69" applyFont="1" applyFill="1" applyBorder="1" applyAlignment="1">
      <alignment vertical="center"/>
    </xf>
    <xf numFmtId="0" fontId="8" fillId="0" borderId="11" xfId="15" applyFont="1" applyBorder="1" applyAlignment="1">
      <alignment horizontal="center" vertical="center"/>
    </xf>
    <xf numFmtId="187" fontId="7" fillId="0" borderId="0" xfId="10" applyNumberFormat="1" applyFont="1"/>
    <xf numFmtId="164" fontId="8" fillId="0" borderId="11" xfId="69" applyFont="1" applyFill="1" applyBorder="1" applyAlignment="1">
      <alignment vertical="center" wrapText="1"/>
    </xf>
    <xf numFmtId="164" fontId="8" fillId="0" borderId="11" xfId="69" applyFont="1" applyBorder="1" applyAlignment="1">
      <alignment vertical="center" wrapText="1"/>
    </xf>
    <xf numFmtId="164" fontId="8" fillId="0" borderId="11" xfId="69" applyFont="1" applyBorder="1" applyAlignment="1">
      <alignment horizontal="center" vertical="top"/>
    </xf>
    <xf numFmtId="164" fontId="72" fillId="0" borderId="11" xfId="69" applyFont="1" applyBorder="1" applyAlignment="1">
      <alignment horizontal="center" vertical="top"/>
    </xf>
    <xf numFmtId="9" fontId="8" fillId="0" borderId="11" xfId="70" applyFont="1" applyBorder="1" applyAlignment="1">
      <alignment horizontal="center" vertical="top"/>
    </xf>
    <xf numFmtId="9" fontId="7" fillId="0" borderId="11" xfId="70" applyFont="1" applyBorder="1" applyAlignment="1">
      <alignment horizontal="center"/>
    </xf>
    <xf numFmtId="9" fontId="7" fillId="0" borderId="11" xfId="70" applyFont="1" applyBorder="1"/>
    <xf numFmtId="164" fontId="7" fillId="0" borderId="11" xfId="69" applyFont="1" applyBorder="1"/>
    <xf numFmtId="0" fontId="7" fillId="0" borderId="0" xfId="10" applyFont="1" applyAlignment="1">
      <alignment horizontal="center" vertical="center"/>
    </xf>
    <xf numFmtId="14" fontId="8" fillId="5" borderId="0" xfId="10" applyNumberFormat="1" applyFont="1" applyFill="1" applyAlignment="1">
      <alignment vertical="center" wrapText="1"/>
    </xf>
    <xf numFmtId="187" fontId="8" fillId="5" borderId="0" xfId="10" applyNumberFormat="1" applyFont="1" applyFill="1" applyAlignment="1">
      <alignment vertical="center" wrapText="1"/>
    </xf>
    <xf numFmtId="164" fontId="8" fillId="0" borderId="0" xfId="69" applyFont="1" applyFill="1" applyBorder="1" applyAlignment="1">
      <alignment vertical="center" wrapText="1"/>
    </xf>
    <xf numFmtId="164" fontId="8" fillId="5" borderId="0" xfId="69" applyFont="1" applyFill="1" applyBorder="1" applyAlignment="1">
      <alignment horizontal="center"/>
    </xf>
    <xf numFmtId="164" fontId="72" fillId="5" borderId="0" xfId="69" applyFont="1" applyFill="1" applyBorder="1" applyAlignment="1">
      <alignment horizontal="center"/>
    </xf>
    <xf numFmtId="9" fontId="8" fillId="5" borderId="0" xfId="70" applyFont="1" applyFill="1" applyBorder="1" applyAlignment="1">
      <alignment horizontal="center"/>
    </xf>
    <xf numFmtId="9" fontId="7" fillId="0" borderId="0" xfId="70" applyFont="1" applyBorder="1" applyAlignment="1">
      <alignment horizontal="center"/>
    </xf>
    <xf numFmtId="9" fontId="7" fillId="0" borderId="0" xfId="70" applyFont="1" applyBorder="1"/>
    <xf numFmtId="164" fontId="7" fillId="0" borderId="16" xfId="69" applyFont="1" applyFill="1" applyBorder="1" applyAlignment="1">
      <alignment horizontal="center"/>
    </xf>
    <xf numFmtId="164" fontId="7" fillId="5" borderId="16" xfId="69" applyFont="1" applyFill="1" applyBorder="1" applyAlignment="1">
      <alignment horizontal="center"/>
    </xf>
    <xf numFmtId="164" fontId="73" fillId="5" borderId="16" xfId="69" applyFont="1" applyFill="1" applyBorder="1" applyAlignment="1">
      <alignment horizontal="center"/>
    </xf>
    <xf numFmtId="9" fontId="7" fillId="5" borderId="16" xfId="70" applyFont="1" applyFill="1" applyBorder="1" applyAlignment="1">
      <alignment horizontal="center"/>
    </xf>
    <xf numFmtId="164" fontId="72" fillId="4" borderId="4" xfId="69" applyFont="1" applyFill="1" applyBorder="1" applyAlignment="1">
      <alignment horizontal="center" vertical="center" wrapText="1"/>
    </xf>
    <xf numFmtId="0" fontId="7" fillId="0" borderId="0" xfId="10" applyFont="1" applyAlignment="1">
      <alignment horizontal="left" vertical="center"/>
    </xf>
    <xf numFmtId="164" fontId="74" fillId="4" borderId="4" xfId="69" applyFont="1" applyFill="1" applyBorder="1" applyAlignment="1">
      <alignment horizontal="center" vertical="center" wrapText="1"/>
    </xf>
    <xf numFmtId="9" fontId="8" fillId="4" borderId="4" xfId="70" applyFont="1" applyFill="1" applyBorder="1" applyAlignment="1">
      <alignment horizontal="center" vertical="center" wrapText="1"/>
    </xf>
    <xf numFmtId="164" fontId="72" fillId="16" borderId="4" xfId="69" applyFont="1" applyFill="1" applyBorder="1" applyAlignment="1">
      <alignment horizontal="center" vertical="center" wrapText="1"/>
    </xf>
    <xf numFmtId="9" fontId="8" fillId="16" borderId="4" xfId="70" applyFont="1" applyFill="1" applyBorder="1" applyAlignment="1">
      <alignment horizontal="center" vertical="center" wrapText="1"/>
    </xf>
    <xf numFmtId="164" fontId="73" fillId="0" borderId="4" xfId="69" applyFont="1" applyFill="1" applyBorder="1"/>
    <xf numFmtId="9" fontId="7" fillId="0" borderId="4" xfId="70" applyFont="1" applyFill="1" applyBorder="1"/>
    <xf numFmtId="0" fontId="69" fillId="8" borderId="4" xfId="0" applyFont="1" applyFill="1" applyBorder="1" applyAlignment="1">
      <alignment horizontal="center" vertical="center" wrapText="1"/>
    </xf>
    <xf numFmtId="187" fontId="69" fillId="8" borderId="4" xfId="0" applyNumberFormat="1" applyFont="1" applyFill="1" applyBorder="1" applyAlignment="1">
      <alignment horizontal="center" vertical="center" wrapText="1"/>
    </xf>
    <xf numFmtId="0" fontId="7" fillId="22" borderId="4" xfId="10" applyFont="1" applyFill="1" applyBorder="1" applyAlignment="1">
      <alignment vertical="center"/>
    </xf>
    <xf numFmtId="164" fontId="69" fillId="8" borderId="4" xfId="69" applyFont="1" applyFill="1" applyBorder="1" applyAlignment="1">
      <alignment horizontal="center" vertical="center" wrapText="1"/>
    </xf>
    <xf numFmtId="164" fontId="75" fillId="17" borderId="4" xfId="69" applyFont="1" applyFill="1" applyBorder="1" applyAlignment="1">
      <alignment horizontal="center" vertical="center" wrapText="1"/>
    </xf>
    <xf numFmtId="9" fontId="7" fillId="8" borderId="4" xfId="70" applyFont="1" applyFill="1" applyBorder="1" applyAlignment="1">
      <alignment vertical="center"/>
    </xf>
    <xf numFmtId="9" fontId="7" fillId="17" borderId="4" xfId="70" applyFont="1" applyFill="1" applyBorder="1" applyAlignment="1">
      <alignment vertical="center"/>
    </xf>
    <xf numFmtId="164" fontId="76" fillId="22" borderId="4" xfId="69" applyFont="1" applyFill="1" applyBorder="1" applyAlignment="1">
      <alignment horizontal="center" vertical="center" wrapText="1"/>
    </xf>
    <xf numFmtId="0" fontId="7" fillId="22" borderId="4" xfId="10" applyFont="1" applyFill="1" applyBorder="1" applyAlignment="1">
      <alignment horizontal="center" vertical="center"/>
    </xf>
    <xf numFmtId="0" fontId="55" fillId="8" borderId="4" xfId="0" applyFont="1" applyFill="1" applyBorder="1" applyAlignment="1">
      <alignment horizontal="center" vertical="center" wrapText="1"/>
    </xf>
    <xf numFmtId="187" fontId="55" fillId="8" borderId="4" xfId="0" applyNumberFormat="1" applyFont="1" applyFill="1" applyBorder="1" applyAlignment="1">
      <alignment horizontal="center" vertical="center" wrapText="1"/>
    </xf>
    <xf numFmtId="0" fontId="7" fillId="22" borderId="4" xfId="10" applyFont="1" applyFill="1" applyBorder="1" applyAlignment="1">
      <alignment wrapText="1"/>
    </xf>
    <xf numFmtId="164" fontId="7" fillId="8" borderId="4" xfId="69" applyFont="1" applyFill="1" applyBorder="1"/>
    <xf numFmtId="164" fontId="73" fillId="17" borderId="4" xfId="69" applyFont="1" applyFill="1" applyBorder="1"/>
    <xf numFmtId="9" fontId="7" fillId="8" borderId="4" xfId="70" applyFont="1" applyFill="1" applyBorder="1"/>
    <xf numFmtId="9" fontId="7" fillId="17" borderId="4" xfId="70" applyFont="1" applyFill="1" applyBorder="1"/>
    <xf numFmtId="164" fontId="7" fillId="22" borderId="4" xfId="69" applyFont="1" applyFill="1" applyBorder="1"/>
    <xf numFmtId="0" fontId="7" fillId="22" borderId="4" xfId="10" applyFont="1" applyFill="1" applyBorder="1"/>
    <xf numFmtId="0" fontId="87" fillId="22" borderId="4" xfId="0" applyFont="1" applyFill="1" applyBorder="1" applyAlignment="1" applyProtection="1">
      <alignment horizontal="center" vertical="center" wrapText="1"/>
      <protection locked="0"/>
    </xf>
    <xf numFmtId="0" fontId="70" fillId="8" borderId="4" xfId="0" applyFont="1" applyFill="1" applyBorder="1" applyAlignment="1">
      <alignment horizontal="center" vertical="center" wrapText="1"/>
    </xf>
    <xf numFmtId="187" fontId="70" fillId="8" borderId="4" xfId="0" applyNumberFormat="1" applyFont="1" applyFill="1" applyBorder="1" applyAlignment="1">
      <alignment horizontal="center" vertical="center" wrapText="1"/>
    </xf>
    <xf numFmtId="0" fontId="7" fillId="22" borderId="4" xfId="10" applyFont="1" applyFill="1" applyBorder="1" applyAlignment="1">
      <alignment horizontal="left" vertical="center"/>
    </xf>
    <xf numFmtId="0" fontId="7" fillId="22" borderId="4" xfId="10" applyFont="1" applyFill="1" applyBorder="1" applyAlignment="1">
      <alignment horizontal="left" vertical="center" wrapText="1"/>
    </xf>
    <xf numFmtId="164" fontId="55" fillId="8" borderId="4" xfId="69" applyFont="1" applyFill="1" applyBorder="1" applyAlignment="1">
      <alignment horizontal="right" vertical="center" wrapText="1"/>
    </xf>
    <xf numFmtId="0" fontId="7" fillId="22" borderId="4" xfId="10" applyFont="1" applyFill="1" applyBorder="1" applyAlignment="1">
      <alignment vertical="center" wrapText="1"/>
    </xf>
    <xf numFmtId="0" fontId="88" fillId="22" borderId="4" xfId="10" applyFont="1" applyFill="1" applyBorder="1" applyAlignment="1">
      <alignment vertical="center" wrapText="1"/>
    </xf>
    <xf numFmtId="187" fontId="55" fillId="0" borderId="4" xfId="0" applyNumberFormat="1" applyFont="1" applyBorder="1" applyAlignment="1">
      <alignment horizontal="center" vertical="center" wrapText="1"/>
    </xf>
    <xf numFmtId="0" fontId="88" fillId="0" borderId="4" xfId="10" applyFont="1" applyBorder="1" applyAlignment="1">
      <alignment vertical="top" wrapText="1"/>
    </xf>
    <xf numFmtId="164" fontId="7" fillId="8" borderId="4" xfId="69" applyFont="1" applyFill="1" applyBorder="1" applyAlignment="1">
      <alignment vertical="center"/>
    </xf>
    <xf numFmtId="164" fontId="7" fillId="14" borderId="4" xfId="69" applyFont="1" applyFill="1" applyBorder="1" applyAlignment="1">
      <alignment vertical="center"/>
    </xf>
    <xf numFmtId="164" fontId="7" fillId="14" borderId="4" xfId="69" applyFont="1" applyFill="1" applyBorder="1" applyAlignment="1">
      <alignment horizontal="center" vertical="center"/>
    </xf>
    <xf numFmtId="164" fontId="73" fillId="14" borderId="4" xfId="69" applyFont="1" applyFill="1" applyBorder="1" applyAlignment="1">
      <alignment vertical="center"/>
    </xf>
    <xf numFmtId="9" fontId="7" fillId="14" borderId="4" xfId="70" applyFont="1" applyFill="1" applyBorder="1" applyAlignment="1">
      <alignment vertical="center"/>
    </xf>
    <xf numFmtId="164" fontId="7" fillId="23" borderId="4" xfId="69" applyFont="1" applyFill="1" applyBorder="1" applyAlignment="1">
      <alignment vertical="center"/>
    </xf>
    <xf numFmtId="164" fontId="7" fillId="23" borderId="4" xfId="69" applyFont="1" applyFill="1" applyBorder="1" applyAlignment="1">
      <alignment horizontal="center" vertical="center"/>
    </xf>
    <xf numFmtId="164" fontId="7" fillId="24" borderId="4" xfId="69" applyFont="1" applyFill="1" applyBorder="1" applyAlignment="1">
      <alignment vertical="center"/>
    </xf>
    <xf numFmtId="0" fontId="88" fillId="0" borderId="4" xfId="10" applyFont="1" applyBorder="1" applyAlignment="1">
      <alignment horizontal="left" vertical="center" wrapText="1"/>
    </xf>
    <xf numFmtId="187" fontId="70" fillId="8" borderId="4" xfId="0" applyNumberFormat="1" applyFont="1" applyFill="1" applyBorder="1" applyAlignment="1">
      <alignment horizontal="center" vertical="center"/>
    </xf>
    <xf numFmtId="164" fontId="57" fillId="8" borderId="4" xfId="69" applyFont="1" applyFill="1" applyBorder="1" applyAlignment="1">
      <alignment vertical="center"/>
    </xf>
    <xf numFmtId="0" fontId="69" fillId="14" borderId="4" xfId="0" applyFont="1" applyFill="1" applyBorder="1" applyAlignment="1">
      <alignment horizontal="center" vertical="center" wrapText="1"/>
    </xf>
    <xf numFmtId="187" fontId="69" fillId="14" borderId="4" xfId="0" applyNumberFormat="1" applyFont="1" applyFill="1" applyBorder="1" applyAlignment="1">
      <alignment horizontal="center" vertical="center" wrapText="1"/>
    </xf>
    <xf numFmtId="0" fontId="7" fillId="23" borderId="4" xfId="10" applyFont="1" applyFill="1" applyBorder="1" applyAlignment="1">
      <alignment vertical="center"/>
    </xf>
    <xf numFmtId="164" fontId="69" fillId="14" borderId="4" xfId="69" applyFont="1" applyFill="1" applyBorder="1" applyAlignment="1">
      <alignment horizontal="center" vertical="center" wrapText="1"/>
    </xf>
    <xf numFmtId="164" fontId="75" fillId="14" borderId="4" xfId="69" applyFont="1" applyFill="1" applyBorder="1" applyAlignment="1">
      <alignment horizontal="center" vertical="center" wrapText="1"/>
    </xf>
    <xf numFmtId="164" fontId="76" fillId="23" borderId="4" xfId="69" applyFont="1" applyFill="1" applyBorder="1" applyAlignment="1">
      <alignment horizontal="center" vertical="center" wrapText="1"/>
    </xf>
    <xf numFmtId="0" fontId="7" fillId="23" borderId="4" xfId="10" applyFont="1" applyFill="1" applyBorder="1" applyAlignment="1">
      <alignment horizontal="center" vertical="center"/>
    </xf>
    <xf numFmtId="0" fontId="55" fillId="14" borderId="4" xfId="0" applyFont="1" applyFill="1" applyBorder="1" applyAlignment="1">
      <alignment horizontal="center" vertical="center" wrapText="1"/>
    </xf>
    <xf numFmtId="187" fontId="55" fillId="14" borderId="4" xfId="0" applyNumberFormat="1" applyFont="1" applyFill="1" applyBorder="1" applyAlignment="1">
      <alignment horizontal="center" vertical="center" wrapText="1"/>
    </xf>
    <xf numFmtId="0" fontId="7" fillId="23" borderId="4" xfId="10" applyFont="1" applyFill="1" applyBorder="1"/>
    <xf numFmtId="164" fontId="73" fillId="14" borderId="4" xfId="69" applyFont="1" applyFill="1" applyBorder="1"/>
    <xf numFmtId="9" fontId="7" fillId="14" borderId="4" xfId="70" applyFont="1" applyFill="1" applyBorder="1"/>
    <xf numFmtId="164" fontId="7" fillId="23" borderId="4" xfId="69" applyFont="1" applyFill="1" applyBorder="1"/>
    <xf numFmtId="0" fontId="7" fillId="23" borderId="4" xfId="10" applyFont="1" applyFill="1" applyBorder="1" applyAlignment="1">
      <alignment horizontal="left" vertical="center" wrapText="1"/>
    </xf>
    <xf numFmtId="187" fontId="55" fillId="6" borderId="4" xfId="0" applyNumberFormat="1" applyFont="1" applyFill="1" applyBorder="1" applyAlignment="1">
      <alignment horizontal="center" vertical="center" wrapText="1"/>
    </xf>
    <xf numFmtId="164" fontId="73" fillId="0" borderId="4" xfId="69" applyFont="1" applyBorder="1"/>
    <xf numFmtId="9" fontId="7" fillId="6" borderId="4" xfId="70" applyFont="1" applyFill="1" applyBorder="1"/>
    <xf numFmtId="9" fontId="7" fillId="0" borderId="4" xfId="70" applyFont="1" applyBorder="1"/>
    <xf numFmtId="0" fontId="87" fillId="0" borderId="4" xfId="0" applyFont="1" applyBorder="1" applyAlignment="1" applyProtection="1">
      <alignment horizontal="center" vertical="center" wrapText="1"/>
      <protection locked="0"/>
    </xf>
    <xf numFmtId="0" fontId="74" fillId="25" borderId="4" xfId="10" applyFont="1" applyFill="1" applyBorder="1" applyAlignment="1">
      <alignment horizontal="center" vertical="center" wrapText="1"/>
    </xf>
    <xf numFmtId="164" fontId="74" fillId="6" borderId="4" xfId="69" applyFont="1" applyFill="1" applyBorder="1" applyAlignment="1">
      <alignment horizontal="center" vertical="center" wrapText="1"/>
    </xf>
    <xf numFmtId="9" fontId="74" fillId="6" borderId="4" xfId="70" applyFont="1" applyFill="1" applyBorder="1" applyAlignment="1">
      <alignment horizontal="center" vertical="center" wrapText="1"/>
    </xf>
    <xf numFmtId="164" fontId="74" fillId="25" borderId="4" xfId="69" applyFont="1" applyFill="1" applyBorder="1" applyAlignment="1">
      <alignment horizontal="center" vertical="center" wrapText="1"/>
    </xf>
    <xf numFmtId="0" fontId="80" fillId="6" borderId="4" xfId="0" applyFont="1" applyFill="1" applyBorder="1" applyAlignment="1">
      <alignment horizontal="center" vertical="center" wrapText="1"/>
    </xf>
    <xf numFmtId="2" fontId="80" fillId="6" borderId="4" xfId="0" applyNumberFormat="1" applyFont="1" applyFill="1" applyBorder="1" applyAlignment="1">
      <alignment horizontal="right" vertical="center" wrapText="1"/>
    </xf>
    <xf numFmtId="164" fontId="78" fillId="0" borderId="4" xfId="69" applyFont="1" applyFill="1" applyBorder="1" applyAlignment="1">
      <alignment vertical="center"/>
    </xf>
    <xf numFmtId="2" fontId="80" fillId="6" borderId="4" xfId="0" applyNumberFormat="1" applyFont="1" applyFill="1" applyBorder="1" applyAlignment="1">
      <alignment horizontal="center" vertical="center" wrapText="1"/>
    </xf>
    <xf numFmtId="9" fontId="78" fillId="0" borderId="4" xfId="70" applyFont="1" applyFill="1" applyBorder="1" applyAlignment="1">
      <alignment vertical="center"/>
    </xf>
    <xf numFmtId="0" fontId="81" fillId="0" borderId="4" xfId="0" applyFont="1" applyBorder="1" applyAlignment="1">
      <alignment horizontal="center" vertical="center"/>
    </xf>
    <xf numFmtId="2" fontId="35" fillId="0" borderId="4" xfId="0" applyNumberFormat="1" applyFont="1" applyBorder="1" applyAlignment="1">
      <alignment horizontal="right" vertical="center"/>
    </xf>
    <xf numFmtId="2" fontId="35" fillId="14" borderId="4" xfId="0" applyNumberFormat="1" applyFont="1" applyFill="1" applyBorder="1" applyAlignment="1">
      <alignment horizontal="center" vertical="center"/>
    </xf>
    <xf numFmtId="9" fontId="74" fillId="14" borderId="4" xfId="70" applyFont="1" applyFill="1" applyBorder="1" applyAlignment="1">
      <alignment horizontal="center" vertical="center" wrapText="1"/>
    </xf>
    <xf numFmtId="0" fontId="88" fillId="23" borderId="4" xfId="10" applyFont="1" applyFill="1" applyBorder="1" applyAlignment="1">
      <alignment wrapText="1"/>
    </xf>
    <xf numFmtId="0" fontId="88" fillId="23" borderId="4" xfId="10" applyFont="1" applyFill="1" applyBorder="1"/>
    <xf numFmtId="187" fontId="12" fillId="16" borderId="7" xfId="69" applyNumberFormat="1" applyFont="1" applyFill="1" applyBorder="1" applyAlignment="1">
      <alignment horizontal="center" vertical="center"/>
    </xf>
    <xf numFmtId="164" fontId="12" fillId="16" borderId="7" xfId="69" applyFont="1" applyFill="1" applyBorder="1" applyAlignment="1">
      <alignment vertical="center"/>
    </xf>
    <xf numFmtId="164" fontId="12" fillId="17" borderId="7" xfId="69" applyFont="1" applyFill="1" applyBorder="1" applyAlignment="1">
      <alignment vertical="center"/>
    </xf>
    <xf numFmtId="187" fontId="12" fillId="16" borderId="7" xfId="69" applyNumberFormat="1" applyFont="1" applyFill="1" applyBorder="1" applyAlignment="1">
      <alignment vertical="center"/>
    </xf>
    <xf numFmtId="9" fontId="12" fillId="16" borderId="7" xfId="70" applyFont="1" applyFill="1" applyBorder="1" applyAlignment="1">
      <alignment vertical="center"/>
    </xf>
    <xf numFmtId="164" fontId="82" fillId="16" borderId="7" xfId="69" applyFont="1" applyFill="1" applyBorder="1" applyAlignment="1">
      <alignment vertical="center"/>
    </xf>
    <xf numFmtId="0" fontId="70" fillId="0" borderId="7" xfId="0" applyFont="1" applyBorder="1" applyAlignment="1" applyProtection="1">
      <alignment horizontal="center" vertical="center" wrapText="1"/>
      <protection locked="0"/>
    </xf>
    <xf numFmtId="0" fontId="7" fillId="0" borderId="0" xfId="10" applyFont="1" applyAlignment="1">
      <alignment horizontal="center"/>
    </xf>
    <xf numFmtId="187" fontId="7" fillId="0" borderId="0" xfId="10" applyNumberFormat="1" applyFont="1" applyAlignment="1">
      <alignment horizontal="center" vertical="center"/>
    </xf>
    <xf numFmtId="164" fontId="73" fillId="0" borderId="0" xfId="69" applyFont="1" applyBorder="1"/>
    <xf numFmtId="0" fontId="70" fillId="0" borderId="0" xfId="0" applyFont="1" applyAlignment="1" applyProtection="1">
      <alignment horizontal="center" vertical="center" wrapText="1"/>
      <protection locked="0"/>
    </xf>
    <xf numFmtId="0" fontId="12" fillId="16" borderId="0" xfId="10" applyFont="1" applyFill="1" applyAlignment="1">
      <alignment horizontal="center" vertical="center"/>
    </xf>
    <xf numFmtId="0" fontId="13" fillId="0" borderId="0" xfId="14" applyFont="1" applyAlignment="1">
      <alignment horizontal="center" vertical="center"/>
    </xf>
    <xf numFmtId="0" fontId="43" fillId="0" borderId="0" xfId="10" applyFont="1" applyAlignment="1">
      <alignment horizontal="center" vertical="center"/>
    </xf>
    <xf numFmtId="0" fontId="13" fillId="15" borderId="0" xfId="14" applyFont="1" applyFill="1" applyAlignment="1">
      <alignment horizontal="center" vertical="center"/>
    </xf>
    <xf numFmtId="0" fontId="43" fillId="15" borderId="0" xfId="10" applyFont="1" applyFill="1" applyAlignment="1">
      <alignment horizontal="center" vertical="center"/>
    </xf>
    <xf numFmtId="0" fontId="12" fillId="4" borderId="7" xfId="14" applyFont="1" applyFill="1" applyBorder="1" applyAlignment="1">
      <alignment horizontal="center" vertical="center"/>
    </xf>
    <xf numFmtId="0" fontId="12" fillId="4" borderId="10" xfId="14" applyFont="1" applyFill="1" applyBorder="1" applyAlignment="1">
      <alignment horizontal="center" vertical="center"/>
    </xf>
    <xf numFmtId="0" fontId="15" fillId="0" borderId="6" xfId="10" applyFont="1" applyBorder="1" applyAlignment="1">
      <alignment horizontal="center" vertical="center"/>
    </xf>
    <xf numFmtId="0" fontId="12" fillId="4" borderId="4" xfId="14" applyFont="1" applyFill="1" applyBorder="1" applyAlignment="1">
      <alignment horizontal="center" vertical="center"/>
    </xf>
    <xf numFmtId="0" fontId="15" fillId="0" borderId="4" xfId="10" applyFont="1" applyBorder="1" applyAlignment="1">
      <alignment horizontal="center" vertical="center"/>
    </xf>
    <xf numFmtId="0" fontId="52" fillId="12" borderId="4" xfId="0" applyFont="1" applyFill="1" applyBorder="1" applyAlignment="1">
      <alignment horizontal="center"/>
    </xf>
    <xf numFmtId="0" fontId="8" fillId="4" borderId="4" xfId="14" applyFont="1" applyFill="1" applyBorder="1" applyAlignment="1">
      <alignment horizontal="center" vertical="center" wrapText="1"/>
    </xf>
    <xf numFmtId="0" fontId="7" fillId="0" borderId="4" xfId="10" applyFont="1" applyBorder="1" applyAlignment="1">
      <alignment horizontal="center" vertical="center" wrapText="1"/>
    </xf>
    <xf numFmtId="0" fontId="8" fillId="4" borderId="5" xfId="14" applyFont="1" applyFill="1" applyBorder="1" applyAlignment="1">
      <alignment horizontal="center" vertical="center" wrapText="1"/>
    </xf>
    <xf numFmtId="0" fontId="8" fillId="4" borderId="3" xfId="14" applyFont="1" applyFill="1" applyBorder="1" applyAlignment="1">
      <alignment horizontal="center" vertical="center" wrapText="1"/>
    </xf>
    <xf numFmtId="0" fontId="8" fillId="4" borderId="8"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7" xfId="14" applyFont="1" applyFill="1" applyBorder="1" applyAlignment="1">
      <alignment horizontal="center" vertical="center" wrapText="1"/>
    </xf>
    <xf numFmtId="0" fontId="8" fillId="4" borderId="10" xfId="14" applyFont="1" applyFill="1" applyBorder="1" applyAlignment="1">
      <alignment horizontal="center" vertical="center" wrapText="1"/>
    </xf>
    <xf numFmtId="0" fontId="17" fillId="0" borderId="6" xfId="10" applyBorder="1" applyAlignment="1">
      <alignment horizontal="center" vertical="center" wrapText="1"/>
    </xf>
    <xf numFmtId="0" fontId="8" fillId="4" borderId="4" xfId="14" applyFont="1" applyFill="1" applyBorder="1" applyAlignment="1">
      <alignment horizontal="center" vertical="center"/>
    </xf>
    <xf numFmtId="0" fontId="17" fillId="0" borderId="4" xfId="10" applyBorder="1" applyAlignment="1">
      <alignment horizontal="center" vertical="center"/>
    </xf>
    <xf numFmtId="0" fontId="8" fillId="6" borderId="0" xfId="14" applyFont="1" applyFill="1" applyBorder="1" applyAlignment="1">
      <alignment horizontal="center" vertical="center"/>
    </xf>
    <xf numFmtId="0" fontId="8" fillId="6" borderId="0" xfId="10" applyFont="1" applyFill="1" applyBorder="1" applyAlignment="1">
      <alignment horizontal="center" vertical="center"/>
    </xf>
    <xf numFmtId="0" fontId="34" fillId="6" borderId="12" xfId="10" applyFont="1" applyFill="1" applyBorder="1" applyAlignment="1">
      <alignment horizontal="left" vertical="center" wrapText="1"/>
    </xf>
    <xf numFmtId="0" fontId="34" fillId="6" borderId="0" xfId="10" applyFont="1" applyFill="1" applyBorder="1" applyAlignment="1">
      <alignment horizontal="left" vertical="center" wrapText="1"/>
    </xf>
    <xf numFmtId="0" fontId="8" fillId="7" borderId="4" xfId="14" applyFont="1" applyFill="1" applyBorder="1" applyAlignment="1">
      <alignment horizontal="center" vertical="center" wrapText="1"/>
    </xf>
    <xf numFmtId="0" fontId="7" fillId="7" borderId="4" xfId="10" applyFont="1" applyFill="1" applyBorder="1" applyAlignment="1">
      <alignment horizontal="center" vertical="center" wrapText="1"/>
    </xf>
    <xf numFmtId="0" fontId="30" fillId="7" borderId="7" xfId="10" applyFont="1" applyFill="1" applyBorder="1" applyAlignment="1">
      <alignment horizontal="center" vertical="center"/>
    </xf>
    <xf numFmtId="0" fontId="30" fillId="7" borderId="6" xfId="10" applyFont="1" applyFill="1" applyBorder="1" applyAlignment="1">
      <alignment horizontal="center" vertical="center"/>
    </xf>
    <xf numFmtId="0" fontId="34" fillId="6" borderId="9" xfId="10" applyFont="1" applyFill="1" applyBorder="1" applyAlignment="1">
      <alignment horizontal="left" vertical="center"/>
    </xf>
    <xf numFmtId="0" fontId="34" fillId="6" borderId="11" xfId="10" applyFont="1" applyFill="1" applyBorder="1" applyAlignment="1">
      <alignment horizontal="left" vertical="center"/>
    </xf>
    <xf numFmtId="0" fontId="30" fillId="7" borderId="7" xfId="10" applyFont="1" applyFill="1" applyBorder="1" applyAlignment="1">
      <alignment horizontal="center" vertical="center" wrapText="1"/>
    </xf>
    <xf numFmtId="0" fontId="30" fillId="7" borderId="6" xfId="10" applyFont="1" applyFill="1" applyBorder="1" applyAlignment="1">
      <alignment horizontal="center" vertical="center" wrapText="1"/>
    </xf>
    <xf numFmtId="0" fontId="30" fillId="7" borderId="5" xfId="10" applyFont="1" applyFill="1" applyBorder="1" applyAlignment="1">
      <alignment horizontal="center" vertical="center"/>
    </xf>
    <xf numFmtId="0" fontId="30" fillId="7" borderId="3" xfId="10" applyFont="1" applyFill="1" applyBorder="1" applyAlignment="1">
      <alignment horizontal="center" vertical="center"/>
    </xf>
    <xf numFmtId="0" fontId="30" fillId="7" borderId="8" xfId="10" applyFont="1" applyFill="1" applyBorder="1" applyAlignment="1">
      <alignment horizontal="center" vertical="center"/>
    </xf>
    <xf numFmtId="0" fontId="12" fillId="7" borderId="4" xfId="14" applyFont="1" applyFill="1" applyBorder="1" applyAlignment="1">
      <alignment horizontal="center" vertical="center" wrapText="1"/>
    </xf>
    <xf numFmtId="0" fontId="63" fillId="6" borderId="12" xfId="10" applyFont="1" applyFill="1" applyBorder="1" applyAlignment="1">
      <alignment horizontal="left" vertical="center"/>
    </xf>
    <xf numFmtId="0" fontId="63" fillId="6" borderId="0" xfId="10" applyFont="1" applyFill="1" applyAlignment="1">
      <alignment horizontal="left" vertical="center"/>
    </xf>
    <xf numFmtId="0" fontId="34" fillId="6" borderId="0" xfId="10" applyFont="1" applyFill="1" applyAlignment="1">
      <alignment horizontal="left" vertical="center" wrapText="1"/>
    </xf>
    <xf numFmtId="0" fontId="31" fillId="6" borderId="0" xfId="10" applyFont="1" applyFill="1" applyAlignment="1">
      <alignment vertical="center"/>
    </xf>
    <xf numFmtId="0" fontId="12" fillId="4" borderId="4" xfId="14" applyFont="1" applyFill="1" applyBorder="1" applyAlignment="1">
      <alignment vertical="center" wrapText="1"/>
    </xf>
    <xf numFmtId="0" fontId="12" fillId="0" borderId="0" xfId="10" applyFont="1" applyAlignment="1">
      <alignment vertical="center"/>
    </xf>
    <xf numFmtId="0" fontId="12" fillId="4" borderId="4" xfId="14" quotePrefix="1" applyFont="1" applyFill="1" applyBorder="1" applyAlignment="1">
      <alignment vertical="center" wrapText="1"/>
    </xf>
    <xf numFmtId="0" fontId="16" fillId="0" borderId="4" xfId="10" applyFont="1" applyBorder="1" applyAlignment="1">
      <alignment vertical="center" wrapText="1"/>
    </xf>
    <xf numFmtId="0" fontId="12" fillId="0" borderId="0" xfId="14" applyFont="1" applyAlignment="1">
      <alignment vertical="center"/>
    </xf>
    <xf numFmtId="0" fontId="12" fillId="4" borderId="4" xfId="14" applyFont="1" applyFill="1" applyBorder="1" applyAlignment="1">
      <alignment horizontal="center" vertical="center" wrapText="1"/>
    </xf>
    <xf numFmtId="0" fontId="21" fillId="0" borderId="0" xfId="10" applyFont="1" applyAlignment="1">
      <alignment vertical="center"/>
    </xf>
    <xf numFmtId="0" fontId="12" fillId="4" borderId="5" xfId="14" applyFont="1" applyFill="1" applyBorder="1" applyAlignment="1">
      <alignment horizontal="center" vertical="center" wrapText="1"/>
    </xf>
    <xf numFmtId="0" fontId="12" fillId="4" borderId="3" xfId="14" applyFont="1" applyFill="1" applyBorder="1" applyAlignment="1">
      <alignment horizontal="center" vertical="center" wrapText="1"/>
    </xf>
    <xf numFmtId="0" fontId="12" fillId="4" borderId="8" xfId="14" applyFont="1" applyFill="1" applyBorder="1" applyAlignment="1">
      <alignment horizontal="center" vertical="center" wrapText="1"/>
    </xf>
    <xf numFmtId="0" fontId="12" fillId="7" borderId="5" xfId="14" applyFont="1" applyFill="1" applyBorder="1" applyAlignment="1">
      <alignment horizontal="center" vertical="center" wrapText="1"/>
    </xf>
    <xf numFmtId="0" fontId="12" fillId="7" borderId="3" xfId="14" applyFont="1" applyFill="1" applyBorder="1" applyAlignment="1">
      <alignment horizontal="center" vertical="center" wrapText="1"/>
    </xf>
    <xf numFmtId="0" fontId="12" fillId="7" borderId="8" xfId="14" applyFont="1" applyFill="1" applyBorder="1" applyAlignment="1">
      <alignment horizontal="center" vertical="center" wrapText="1"/>
    </xf>
    <xf numFmtId="0" fontId="48" fillId="0" borderId="0" xfId="10" applyFont="1" applyAlignment="1">
      <alignment horizontal="center" vertical="center"/>
    </xf>
    <xf numFmtId="0" fontId="8" fillId="4" borderId="4" xfId="10" applyFont="1" applyFill="1" applyBorder="1" applyAlignment="1">
      <alignment horizontal="center" vertical="center" wrapText="1"/>
    </xf>
    <xf numFmtId="0" fontId="17" fillId="0" borderId="4" xfId="10" applyBorder="1" applyAlignment="1">
      <alignment horizontal="center" vertical="center" wrapText="1"/>
    </xf>
    <xf numFmtId="0" fontId="8" fillId="4" borderId="4" xfId="10" applyFont="1" applyFill="1" applyBorder="1" applyAlignment="1">
      <alignment horizontal="center" vertical="center"/>
    </xf>
    <xf numFmtId="0" fontId="8" fillId="4" borderId="6" xfId="14" applyFont="1" applyFill="1" applyBorder="1" applyAlignment="1">
      <alignment horizontal="center" vertical="center" wrapText="1"/>
    </xf>
    <xf numFmtId="0" fontId="8" fillId="4" borderId="7" xfId="14" applyFont="1" applyFill="1" applyBorder="1" applyAlignment="1">
      <alignment horizontal="left" vertical="center" wrapText="1"/>
    </xf>
    <xf numFmtId="0" fontId="8" fillId="4" borderId="6" xfId="14" applyFont="1" applyFill="1" applyBorder="1" applyAlignment="1">
      <alignment horizontal="left" vertical="center" wrapText="1"/>
    </xf>
    <xf numFmtId="0" fontId="8" fillId="4" borderId="7" xfId="10" applyFont="1" applyFill="1" applyBorder="1" applyAlignment="1">
      <alignment horizontal="center" vertical="center" wrapText="1"/>
    </xf>
    <xf numFmtId="0" fontId="8" fillId="4" borderId="6" xfId="10" applyFont="1" applyFill="1" applyBorder="1" applyAlignment="1">
      <alignment horizontal="center" vertical="center" wrapText="1"/>
    </xf>
    <xf numFmtId="0" fontId="8" fillId="4" borderId="7" xfId="10" applyFont="1" applyFill="1" applyBorder="1" applyAlignment="1">
      <alignment horizontal="center" vertical="center"/>
    </xf>
    <xf numFmtId="0" fontId="8" fillId="4" borderId="6" xfId="10" applyFont="1" applyFill="1" applyBorder="1" applyAlignment="1">
      <alignment horizontal="center" vertical="center"/>
    </xf>
    <xf numFmtId="0" fontId="17" fillId="0" borderId="0" xfId="10" applyAlignment="1">
      <alignment horizontal="center" vertical="center"/>
    </xf>
    <xf numFmtId="0" fontId="8" fillId="4" borderId="4" xfId="14" quotePrefix="1" applyFont="1" applyFill="1" applyBorder="1" applyAlignment="1">
      <alignment horizontal="center" vertical="center" wrapText="1"/>
    </xf>
    <xf numFmtId="0" fontId="7" fillId="0" borderId="9" xfId="14" quotePrefix="1" applyFont="1" applyFill="1" applyBorder="1" applyAlignment="1">
      <alignment horizontal="center" vertical="center" wrapText="1"/>
    </xf>
    <xf numFmtId="0" fontId="7" fillId="0" borderId="11" xfId="14" quotePrefix="1" applyFont="1" applyFill="1" applyBorder="1" applyAlignment="1">
      <alignment horizontal="center" vertical="center" wrapText="1"/>
    </xf>
    <xf numFmtId="0" fontId="7" fillId="0" borderId="12" xfId="14" quotePrefix="1" applyFont="1" applyFill="1" applyBorder="1" applyAlignment="1">
      <alignment horizontal="center" vertical="center" wrapText="1"/>
    </xf>
    <xf numFmtId="0" fontId="7" fillId="0" borderId="0" xfId="14" quotePrefix="1" applyFont="1" applyFill="1" applyBorder="1" applyAlignment="1">
      <alignment horizontal="center" vertical="center" wrapText="1"/>
    </xf>
    <xf numFmtId="0" fontId="7" fillId="0" borderId="15" xfId="14" quotePrefix="1" applyFont="1" applyFill="1" applyBorder="1" applyAlignment="1">
      <alignment horizontal="center" vertical="center" wrapText="1"/>
    </xf>
    <xf numFmtId="0" fontId="7" fillId="0" borderId="16" xfId="14" quotePrefix="1" applyFont="1" applyFill="1" applyBorder="1" applyAlignment="1">
      <alignment horizontal="center" vertical="center" wrapText="1"/>
    </xf>
    <xf numFmtId="0" fontId="7" fillId="0" borderId="13" xfId="14" quotePrefix="1" applyFont="1" applyFill="1" applyBorder="1" applyAlignment="1">
      <alignment horizontal="center" vertical="center" wrapText="1"/>
    </xf>
    <xf numFmtId="0" fontId="7" fillId="0" borderId="14" xfId="14" quotePrefix="1" applyFont="1" applyFill="1" applyBorder="1" applyAlignment="1">
      <alignment horizontal="center" vertical="center" wrapText="1"/>
    </xf>
    <xf numFmtId="0" fontId="7" fillId="0" borderId="17" xfId="14" quotePrefix="1" applyFont="1" applyFill="1" applyBorder="1" applyAlignment="1">
      <alignment horizontal="center" vertical="center" wrapText="1"/>
    </xf>
    <xf numFmtId="0" fontId="8" fillId="0" borderId="9" xfId="10" quotePrefix="1" applyFont="1" applyFill="1" applyBorder="1" applyAlignment="1">
      <alignment horizontal="center" vertical="center"/>
    </xf>
    <xf numFmtId="0" fontId="8" fillId="0" borderId="11" xfId="10" quotePrefix="1" applyFont="1" applyFill="1" applyBorder="1" applyAlignment="1">
      <alignment horizontal="center" vertical="center"/>
    </xf>
    <xf numFmtId="0" fontId="8" fillId="0" borderId="12" xfId="10" quotePrefix="1" applyFont="1" applyFill="1" applyBorder="1" applyAlignment="1">
      <alignment horizontal="center" vertical="center"/>
    </xf>
    <xf numFmtId="0" fontId="8" fillId="0" borderId="0" xfId="10" quotePrefix="1" applyFont="1" applyFill="1" applyBorder="1" applyAlignment="1">
      <alignment horizontal="center" vertical="center"/>
    </xf>
    <xf numFmtId="0" fontId="8" fillId="0" borderId="15" xfId="10" quotePrefix="1" applyFont="1" applyFill="1" applyBorder="1" applyAlignment="1">
      <alignment horizontal="center" vertical="center"/>
    </xf>
    <xf numFmtId="0" fontId="8" fillId="0" borderId="16" xfId="10" quotePrefix="1" applyFont="1" applyFill="1" applyBorder="1" applyAlignment="1">
      <alignment horizontal="center" vertical="center"/>
    </xf>
    <xf numFmtId="0" fontId="8" fillId="0" borderId="11" xfId="10" applyFont="1" applyFill="1" applyBorder="1" applyAlignment="1">
      <alignment horizontal="center" vertical="center"/>
    </xf>
    <xf numFmtId="0" fontId="8" fillId="0" borderId="13" xfId="10" applyFont="1" applyFill="1" applyBorder="1" applyAlignment="1">
      <alignment horizontal="center" vertical="center"/>
    </xf>
    <xf numFmtId="0" fontId="8" fillId="0" borderId="0" xfId="10" applyFont="1" applyFill="1" applyBorder="1" applyAlignment="1">
      <alignment horizontal="center" vertical="center"/>
    </xf>
    <xf numFmtId="0" fontId="8" fillId="0" borderId="14" xfId="10" applyFont="1" applyFill="1" applyBorder="1" applyAlignment="1">
      <alignment horizontal="center" vertical="center"/>
    </xf>
    <xf numFmtId="0" fontId="8" fillId="0" borderId="16" xfId="10" applyFont="1" applyFill="1" applyBorder="1" applyAlignment="1">
      <alignment horizontal="center" vertical="center"/>
    </xf>
    <xf numFmtId="0" fontId="8" fillId="0" borderId="17" xfId="10" applyFont="1" applyFill="1" applyBorder="1" applyAlignment="1">
      <alignment horizontal="center" vertical="center"/>
    </xf>
    <xf numFmtId="0" fontId="8" fillId="0" borderId="9" xfId="14" quotePrefix="1" applyFont="1" applyFill="1" applyBorder="1" applyAlignment="1">
      <alignment horizontal="center" vertical="center" wrapText="1"/>
    </xf>
    <xf numFmtId="0" fontId="8" fillId="0" borderId="11" xfId="14" applyFont="1" applyFill="1" applyBorder="1" applyAlignment="1">
      <alignment horizontal="center" vertical="center" wrapText="1"/>
    </xf>
    <xf numFmtId="0" fontId="8" fillId="0" borderId="13" xfId="14" applyFont="1" applyFill="1" applyBorder="1" applyAlignment="1">
      <alignment horizontal="center" vertical="center" wrapText="1"/>
    </xf>
    <xf numFmtId="0" fontId="8" fillId="0" borderId="12" xfId="14" applyFont="1" applyFill="1" applyBorder="1" applyAlignment="1">
      <alignment horizontal="center" vertical="center" wrapText="1"/>
    </xf>
    <xf numFmtId="0" fontId="8" fillId="0" borderId="0" xfId="14" applyFont="1" applyFill="1" applyBorder="1" applyAlignment="1">
      <alignment horizontal="center" vertical="center" wrapText="1"/>
    </xf>
    <xf numFmtId="0" fontId="8" fillId="0" borderId="14" xfId="14" applyFont="1" applyFill="1" applyBorder="1" applyAlignment="1">
      <alignment horizontal="center" vertical="center" wrapText="1"/>
    </xf>
    <xf numFmtId="0" fontId="8" fillId="0" borderId="15" xfId="14" applyFont="1" applyFill="1" applyBorder="1" applyAlignment="1">
      <alignment horizontal="center" vertical="center" wrapText="1"/>
    </xf>
    <xf numFmtId="0" fontId="8" fillId="0" borderId="16" xfId="14" applyFont="1" applyFill="1" applyBorder="1" applyAlignment="1">
      <alignment horizontal="center" vertical="center" wrapText="1"/>
    </xf>
    <xf numFmtId="0" fontId="8" fillId="0" borderId="17" xfId="14" applyFont="1" applyFill="1" applyBorder="1" applyAlignment="1">
      <alignment horizontal="center" vertical="center" wrapText="1"/>
    </xf>
    <xf numFmtId="0" fontId="8" fillId="5" borderId="9" xfId="14" quotePrefix="1" applyFont="1" applyFill="1" applyBorder="1" applyAlignment="1">
      <alignment horizontal="center" vertical="center"/>
    </xf>
    <xf numFmtId="0" fontId="8" fillId="5" borderId="11" xfId="14" applyFont="1" applyFill="1" applyBorder="1" applyAlignment="1">
      <alignment horizontal="center" vertical="center"/>
    </xf>
    <xf numFmtId="0" fontId="8" fillId="5" borderId="13" xfId="14" applyFont="1" applyFill="1" applyBorder="1" applyAlignment="1">
      <alignment horizontal="center" vertical="center"/>
    </xf>
    <xf numFmtId="0" fontId="8" fillId="5" borderId="12" xfId="14" applyFont="1" applyFill="1" applyBorder="1" applyAlignment="1">
      <alignment horizontal="center" vertical="center"/>
    </xf>
    <xf numFmtId="0" fontId="8" fillId="5" borderId="0" xfId="14" applyFont="1" applyFill="1" applyBorder="1" applyAlignment="1">
      <alignment horizontal="center" vertical="center"/>
    </xf>
    <xf numFmtId="0" fontId="8" fillId="5" borderId="14" xfId="14" applyFont="1" applyFill="1" applyBorder="1" applyAlignment="1">
      <alignment horizontal="center" vertical="center"/>
    </xf>
    <xf numFmtId="0" fontId="8" fillId="5" borderId="15" xfId="14" applyFont="1" applyFill="1" applyBorder="1" applyAlignment="1">
      <alignment horizontal="center" vertical="center"/>
    </xf>
    <xf numFmtId="0" fontId="8" fillId="5" borderId="16" xfId="14" applyFont="1" applyFill="1" applyBorder="1" applyAlignment="1">
      <alignment horizontal="center" vertical="center"/>
    </xf>
    <xf numFmtId="0" fontId="8" fillId="5" borderId="17" xfId="14" applyFont="1" applyFill="1" applyBorder="1" applyAlignment="1">
      <alignment horizontal="center" vertical="center"/>
    </xf>
    <xf numFmtId="0" fontId="8" fillId="0" borderId="9" xfId="10" applyFont="1" applyFill="1" applyBorder="1" applyAlignment="1">
      <alignment horizontal="center" vertical="center" wrapText="1"/>
    </xf>
    <xf numFmtId="0" fontId="8" fillId="0" borderId="11" xfId="10" applyFont="1" applyFill="1" applyBorder="1" applyAlignment="1">
      <alignment horizontal="center" vertical="center" wrapText="1"/>
    </xf>
    <xf numFmtId="0" fontId="8" fillId="0" borderId="13" xfId="10" applyFont="1" applyFill="1" applyBorder="1" applyAlignment="1">
      <alignment horizontal="center" vertical="center" wrapText="1"/>
    </xf>
    <xf numFmtId="0" fontId="8" fillId="0" borderId="12" xfId="10" applyFont="1" applyFill="1" applyBorder="1" applyAlignment="1">
      <alignment horizontal="center" vertical="center" wrapText="1"/>
    </xf>
    <xf numFmtId="0" fontId="8" fillId="0" borderId="0" xfId="10" applyFont="1" applyFill="1" applyBorder="1" applyAlignment="1">
      <alignment horizontal="center" vertical="center" wrapText="1"/>
    </xf>
    <xf numFmtId="0" fontId="8" fillId="0" borderId="14" xfId="10" applyFont="1" applyFill="1" applyBorder="1" applyAlignment="1">
      <alignment horizontal="center" vertical="center" wrapText="1"/>
    </xf>
    <xf numFmtId="0" fontId="8" fillId="0" borderId="15" xfId="10" applyFont="1" applyFill="1" applyBorder="1" applyAlignment="1">
      <alignment horizontal="center" vertical="center" wrapText="1"/>
    </xf>
    <xf numFmtId="0" fontId="8" fillId="0" borderId="16" xfId="10" applyFont="1" applyFill="1" applyBorder="1" applyAlignment="1">
      <alignment horizontal="center" vertical="center" wrapText="1"/>
    </xf>
    <xf numFmtId="0" fontId="8" fillId="0" borderId="17" xfId="10" applyFont="1" applyFill="1" applyBorder="1" applyAlignment="1">
      <alignment horizontal="center" vertical="center" wrapText="1"/>
    </xf>
    <xf numFmtId="0" fontId="8" fillId="4" borderId="5" xfId="10" applyFont="1" applyFill="1" applyBorder="1" applyAlignment="1">
      <alignment horizontal="center" vertical="center"/>
    </xf>
    <xf numFmtId="0" fontId="8" fillId="4" borderId="8" xfId="10" applyFont="1" applyFill="1" applyBorder="1" applyAlignment="1">
      <alignment horizontal="center" vertical="center"/>
    </xf>
    <xf numFmtId="0" fontId="8" fillId="7" borderId="4" xfId="10" applyFont="1" applyFill="1" applyBorder="1" applyAlignment="1">
      <alignment horizontal="center" vertical="center" wrapText="1"/>
    </xf>
    <xf numFmtId="164" fontId="26" fillId="0" borderId="7" xfId="69" applyFont="1" applyFill="1" applyBorder="1" applyAlignment="1">
      <alignment horizontal="center" vertical="center"/>
    </xf>
    <xf numFmtId="164" fontId="26" fillId="0" borderId="10" xfId="69" applyFont="1" applyFill="1" applyBorder="1" applyAlignment="1">
      <alignment horizontal="center" vertical="center"/>
    </xf>
    <xf numFmtId="164" fontId="26" fillId="0" borderId="6" xfId="69" applyFont="1" applyFill="1" applyBorder="1" applyAlignment="1">
      <alignment horizontal="center" vertical="center"/>
    </xf>
    <xf numFmtId="164" fontId="7" fillId="0" borderId="4" xfId="69" applyFont="1" applyFill="1" applyBorder="1" applyAlignment="1">
      <alignment horizontal="center" vertical="center"/>
    </xf>
    <xf numFmtId="0" fontId="8" fillId="7" borderId="4" xfId="10" applyFont="1" applyFill="1" applyBorder="1" applyAlignment="1">
      <alignment horizontal="center" vertical="center"/>
    </xf>
    <xf numFmtId="0" fontId="7" fillId="0" borderId="4" xfId="0" applyFont="1" applyFill="1" applyBorder="1" applyAlignment="1">
      <alignment horizontal="center" vertical="top"/>
    </xf>
    <xf numFmtId="164" fontId="7" fillId="0" borderId="7" xfId="69" applyFont="1" applyFill="1" applyBorder="1" applyAlignment="1">
      <alignment horizontal="center" vertical="center"/>
    </xf>
    <xf numFmtId="164" fontId="7" fillId="0" borderId="10" xfId="69" applyFont="1" applyFill="1" applyBorder="1" applyAlignment="1">
      <alignment horizontal="center" vertical="center"/>
    </xf>
    <xf numFmtId="164" fontId="7" fillId="0" borderId="6" xfId="69" applyFont="1" applyFill="1" applyBorder="1" applyAlignment="1">
      <alignment horizontal="center" vertical="center"/>
    </xf>
    <xf numFmtId="0" fontId="8" fillId="7" borderId="4" xfId="10" applyFont="1" applyFill="1" applyBorder="1" applyAlignment="1">
      <alignment horizontal="center" wrapText="1"/>
    </xf>
    <xf numFmtId="4" fontId="8" fillId="0" borderId="4" xfId="10" applyNumberFormat="1" applyFont="1" applyFill="1" applyBorder="1" applyAlignment="1" applyProtection="1">
      <alignment horizontal="center" vertical="center"/>
    </xf>
    <xf numFmtId="2" fontId="7" fillId="0" borderId="7" xfId="10" applyNumberFormat="1" applyFont="1" applyFill="1" applyBorder="1" applyAlignment="1" applyProtection="1">
      <alignment horizontal="center" vertical="center"/>
    </xf>
    <xf numFmtId="2" fontId="7" fillId="0" borderId="10" xfId="10" applyNumberFormat="1" applyFont="1" applyFill="1" applyBorder="1" applyAlignment="1" applyProtection="1">
      <alignment horizontal="center" vertical="center"/>
    </xf>
    <xf numFmtId="2" fontId="7" fillId="0" borderId="6" xfId="10" applyNumberFormat="1" applyFont="1" applyFill="1" applyBorder="1" applyAlignment="1" applyProtection="1">
      <alignment horizontal="center" vertical="center"/>
    </xf>
    <xf numFmtId="4" fontId="7" fillId="0" borderId="7" xfId="10" applyNumberFormat="1" applyFont="1" applyFill="1" applyBorder="1" applyAlignment="1" applyProtection="1">
      <alignment horizontal="center" vertical="center"/>
    </xf>
    <xf numFmtId="4" fontId="7" fillId="0" borderId="10" xfId="10" applyNumberFormat="1" applyFont="1" applyFill="1" applyBorder="1" applyAlignment="1" applyProtection="1">
      <alignment horizontal="center" vertical="center"/>
    </xf>
    <xf numFmtId="4" fontId="7" fillId="0" borderId="6" xfId="10" applyNumberFormat="1" applyFont="1" applyFill="1" applyBorder="1" applyAlignment="1" applyProtection="1">
      <alignment horizontal="center" vertical="center"/>
    </xf>
    <xf numFmtId="164" fontId="7" fillId="0" borderId="7" xfId="69" applyFont="1" applyFill="1" applyBorder="1" applyAlignment="1" applyProtection="1">
      <alignment horizontal="center" vertical="center"/>
    </xf>
    <xf numFmtId="164" fontId="7" fillId="0" borderId="10" xfId="69" applyFont="1" applyFill="1" applyBorder="1" applyAlignment="1" applyProtection="1">
      <alignment horizontal="center" vertical="center"/>
    </xf>
    <xf numFmtId="164" fontId="7" fillId="0" borderId="6" xfId="69" applyFont="1" applyFill="1" applyBorder="1" applyAlignment="1" applyProtection="1">
      <alignment horizontal="center" vertical="center"/>
    </xf>
    <xf numFmtId="0" fontId="8" fillId="7" borderId="5" xfId="10" applyFont="1" applyFill="1" applyBorder="1" applyAlignment="1">
      <alignment horizontal="center" vertical="center" wrapText="1"/>
    </xf>
    <xf numFmtId="0" fontId="8" fillId="7" borderId="3" xfId="10" applyFont="1" applyFill="1" applyBorder="1" applyAlignment="1">
      <alignment horizontal="center" vertical="center" wrapText="1"/>
    </xf>
    <xf numFmtId="0" fontId="8" fillId="7" borderId="8" xfId="10" applyFont="1" applyFill="1" applyBorder="1" applyAlignment="1">
      <alignment horizontal="center" vertical="center" wrapText="1"/>
    </xf>
    <xf numFmtId="0" fontId="8" fillId="0" borderId="0" xfId="10" applyFont="1" applyAlignment="1">
      <alignment horizontal="left"/>
    </xf>
    <xf numFmtId="0" fontId="8" fillId="0" borderId="0" xfId="10" applyFont="1" applyFill="1" applyAlignment="1">
      <alignment horizontal="left"/>
    </xf>
    <xf numFmtId="0" fontId="8" fillId="7" borderId="7" xfId="14" applyFont="1" applyFill="1" applyBorder="1" applyAlignment="1">
      <alignment horizontal="center" vertical="center" wrapText="1"/>
    </xf>
    <xf numFmtId="0" fontId="8" fillId="7" borderId="10" xfId="14" applyFont="1" applyFill="1" applyBorder="1" applyAlignment="1">
      <alignment horizontal="center" vertical="center" wrapText="1"/>
    </xf>
    <xf numFmtId="0" fontId="8" fillId="7" borderId="6" xfId="14" applyFont="1" applyFill="1" applyBorder="1" applyAlignment="1">
      <alignment horizontal="center" vertical="center" wrapText="1"/>
    </xf>
    <xf numFmtId="0" fontId="8" fillId="7" borderId="5" xfId="10" applyFont="1" applyFill="1" applyBorder="1" applyAlignment="1">
      <alignment horizontal="center" vertical="center"/>
    </xf>
    <xf numFmtId="0" fontId="8" fillId="7" borderId="8" xfId="10" applyFont="1" applyFill="1" applyBorder="1" applyAlignment="1">
      <alignment horizontal="center" vertical="center"/>
    </xf>
    <xf numFmtId="164" fontId="8" fillId="0" borderId="4" xfId="69" applyFont="1" applyFill="1" applyBorder="1" applyAlignment="1" applyProtection="1">
      <alignment horizontal="center" vertical="center"/>
    </xf>
    <xf numFmtId="0" fontId="8" fillId="0" borderId="0" xfId="14" applyFont="1" applyFill="1" applyBorder="1" applyAlignment="1">
      <alignment horizontal="center" vertical="center"/>
    </xf>
    <xf numFmtId="0" fontId="17" fillId="0" borderId="4" xfId="10" applyBorder="1" applyAlignment="1">
      <alignment vertical="center"/>
    </xf>
    <xf numFmtId="0" fontId="12" fillId="0" borderId="0" xfId="14" applyFont="1" applyFill="1" applyBorder="1" applyAlignment="1">
      <alignment horizontal="center" vertical="center" wrapText="1"/>
    </xf>
    <xf numFmtId="0" fontId="17" fillId="7" borderId="4" xfId="10" applyFill="1" applyBorder="1" applyAlignment="1">
      <alignment horizontal="center" vertical="center" wrapText="1"/>
    </xf>
    <xf numFmtId="0" fontId="17" fillId="7" borderId="6" xfId="10" applyFill="1" applyBorder="1" applyAlignment="1">
      <alignment horizontal="center" vertical="center" wrapText="1"/>
    </xf>
    <xf numFmtId="0" fontId="8" fillId="7" borderId="4" xfId="14" applyFont="1" applyFill="1" applyBorder="1" applyAlignment="1">
      <alignment horizontal="center" vertical="center"/>
    </xf>
    <xf numFmtId="0" fontId="17" fillId="7" borderId="4" xfId="10" applyFill="1" applyBorder="1" applyAlignment="1">
      <alignment horizontal="center" vertical="center"/>
    </xf>
    <xf numFmtId="0" fontId="8" fillId="7" borderId="5" xfId="14" applyFont="1" applyFill="1" applyBorder="1" applyAlignment="1">
      <alignment horizontal="center" vertical="center" wrapText="1"/>
    </xf>
    <xf numFmtId="0" fontId="8" fillId="7" borderId="3" xfId="14" applyFont="1" applyFill="1" applyBorder="1" applyAlignment="1">
      <alignment horizontal="center" vertical="center" wrapText="1"/>
    </xf>
    <xf numFmtId="0" fontId="8" fillId="7" borderId="8" xfId="14" applyFont="1" applyFill="1" applyBorder="1" applyAlignment="1">
      <alignment horizontal="center" vertical="center" wrapText="1"/>
    </xf>
    <xf numFmtId="175" fontId="8" fillId="4" borderId="4" xfId="69" applyNumberFormat="1" applyFont="1" applyFill="1" applyBorder="1" applyAlignment="1">
      <alignment horizontal="center" vertical="center" wrapText="1"/>
    </xf>
    <xf numFmtId="164" fontId="8" fillId="4" borderId="4" xfId="69" applyFont="1" applyFill="1" applyBorder="1" applyAlignment="1">
      <alignment horizontal="center" vertical="center" wrapText="1"/>
    </xf>
    <xf numFmtId="0" fontId="11" fillId="4" borderId="4" xfId="10" applyFont="1" applyFill="1" applyBorder="1" applyAlignment="1">
      <alignment horizontal="center" vertical="center" wrapText="1"/>
    </xf>
    <xf numFmtId="187" fontId="8" fillId="4" borderId="4" xfId="10" applyNumberFormat="1" applyFont="1" applyFill="1" applyBorder="1" applyAlignment="1">
      <alignment horizontal="center" vertical="center" wrapText="1"/>
    </xf>
    <xf numFmtId="0" fontId="8" fillId="4" borderId="10" xfId="10" applyFont="1" applyFill="1" applyBorder="1" applyAlignment="1">
      <alignment horizontal="center" vertical="center" wrapText="1"/>
    </xf>
    <xf numFmtId="9" fontId="8" fillId="4" borderId="4" xfId="70" applyFont="1" applyFill="1" applyBorder="1" applyAlignment="1">
      <alignment horizontal="center" vertical="center" wrapText="1"/>
    </xf>
    <xf numFmtId="164" fontId="56" fillId="4" borderId="7" xfId="69" applyFont="1" applyFill="1" applyBorder="1" applyAlignment="1">
      <alignment horizontal="center" vertical="center" wrapText="1"/>
    </xf>
    <xf numFmtId="164" fontId="56" fillId="4" borderId="10" xfId="69" applyFont="1" applyFill="1" applyBorder="1" applyAlignment="1">
      <alignment horizontal="center" vertical="center" wrapText="1"/>
    </xf>
    <xf numFmtId="164" fontId="56" fillId="4" borderId="6" xfId="69" applyFont="1" applyFill="1" applyBorder="1" applyAlignment="1">
      <alignment horizontal="center" vertical="center" wrapText="1"/>
    </xf>
    <xf numFmtId="0" fontId="56" fillId="4" borderId="7" xfId="10" applyFont="1" applyFill="1" applyBorder="1" applyAlignment="1">
      <alignment horizontal="center" vertical="center" wrapText="1"/>
    </xf>
    <xf numFmtId="0" fontId="56" fillId="4" borderId="10" xfId="10" applyFont="1" applyFill="1" applyBorder="1" applyAlignment="1">
      <alignment horizontal="center" vertical="center" wrapText="1"/>
    </xf>
    <xf numFmtId="0" fontId="56" fillId="4" borderId="6" xfId="10" applyFont="1" applyFill="1" applyBorder="1" applyAlignment="1">
      <alignment horizontal="center" vertical="center" wrapText="1"/>
    </xf>
    <xf numFmtId="164" fontId="8" fillId="4" borderId="7" xfId="69" applyFont="1" applyFill="1" applyBorder="1" applyAlignment="1">
      <alignment horizontal="center" vertical="center" wrapText="1"/>
    </xf>
    <xf numFmtId="164" fontId="8" fillId="4" borderId="6" xfId="69" applyFont="1" applyFill="1" applyBorder="1" applyAlignment="1">
      <alignment horizontal="center" vertical="center" wrapText="1"/>
    </xf>
    <xf numFmtId="164" fontId="8" fillId="4" borderId="10" xfId="69" applyFont="1" applyFill="1" applyBorder="1" applyAlignment="1">
      <alignment horizontal="center" vertical="center" wrapText="1"/>
    </xf>
    <xf numFmtId="0" fontId="8" fillId="4" borderId="4" xfId="31" applyFont="1" applyFill="1" applyBorder="1" applyAlignment="1">
      <alignment horizontal="center" vertical="center" wrapText="1"/>
    </xf>
    <xf numFmtId="0" fontId="8" fillId="4" borderId="5" xfId="31" applyFont="1" applyFill="1" applyBorder="1" applyAlignment="1">
      <alignment horizontal="center" wrapText="1"/>
    </xf>
    <xf numFmtId="0" fontId="8" fillId="4" borderId="3" xfId="31" applyFont="1" applyFill="1" applyBorder="1" applyAlignment="1">
      <alignment horizontal="center" wrapText="1"/>
    </xf>
    <xf numFmtId="0" fontId="8" fillId="4" borderId="8" xfId="31" applyFont="1" applyFill="1" applyBorder="1" applyAlignment="1">
      <alignment horizontal="center" wrapText="1"/>
    </xf>
    <xf numFmtId="0" fontId="8" fillId="4" borderId="4" xfId="31" applyFont="1" applyFill="1" applyBorder="1" applyAlignment="1">
      <alignment horizontal="center" wrapText="1"/>
    </xf>
    <xf numFmtId="0" fontId="17" fillId="0" borderId="4" xfId="31" applyBorder="1" applyAlignment="1">
      <alignment horizontal="center" wrapText="1"/>
    </xf>
    <xf numFmtId="0" fontId="8" fillId="4" borderId="4" xfId="10" applyFont="1" applyFill="1" applyBorder="1" applyAlignment="1">
      <alignment horizontal="center" wrapText="1"/>
    </xf>
    <xf numFmtId="0" fontId="26" fillId="0" borderId="4" xfId="10" applyFont="1" applyBorder="1" applyAlignment="1">
      <alignment horizontal="center" wrapText="1"/>
    </xf>
    <xf numFmtId="0" fontId="8" fillId="4" borderId="5" xfId="31" applyFont="1" applyFill="1" applyBorder="1" applyAlignment="1">
      <alignment horizontal="center" vertical="center" wrapText="1"/>
    </xf>
    <xf numFmtId="0" fontId="8" fillId="4" borderId="3" xfId="31" applyFont="1" applyFill="1" applyBorder="1" applyAlignment="1">
      <alignment horizontal="center" vertical="center" wrapText="1"/>
    </xf>
    <xf numFmtId="0" fontId="8" fillId="4" borderId="8" xfId="31" applyFont="1" applyFill="1" applyBorder="1" applyAlignment="1">
      <alignment horizontal="center" vertical="center" wrapText="1"/>
    </xf>
    <xf numFmtId="0" fontId="7" fillId="6" borderId="0" xfId="68" applyFont="1" applyFill="1" applyAlignment="1">
      <alignment horizontal="left" vertical="center"/>
    </xf>
    <xf numFmtId="0" fontId="8" fillId="4" borderId="5" xfId="10" applyFont="1" applyFill="1" applyBorder="1" applyAlignment="1">
      <alignment horizontal="center" vertical="center" wrapText="1"/>
    </xf>
    <xf numFmtId="0" fontId="8" fillId="4" borderId="3" xfId="10" applyFont="1" applyFill="1" applyBorder="1" applyAlignment="1">
      <alignment horizontal="center" vertical="center" wrapText="1"/>
    </xf>
    <xf numFmtId="0" fontId="8" fillId="4" borderId="8" xfId="10" applyFont="1" applyFill="1" applyBorder="1" applyAlignment="1">
      <alignment horizontal="center" vertical="center" wrapText="1"/>
    </xf>
    <xf numFmtId="0" fontId="8" fillId="4" borderId="4" xfId="14" applyNumberFormat="1" applyFont="1" applyFill="1" applyBorder="1" applyAlignment="1">
      <alignment horizontal="center" vertical="center" wrapText="1"/>
    </xf>
    <xf numFmtId="176" fontId="8" fillId="4" borderId="7" xfId="69" applyNumberFormat="1" applyFont="1" applyFill="1" applyBorder="1" applyAlignment="1">
      <alignment horizontal="center" vertical="center" wrapText="1"/>
    </xf>
    <xf numFmtId="176" fontId="8" fillId="4" borderId="10" xfId="69" applyNumberFormat="1" applyFont="1" applyFill="1" applyBorder="1" applyAlignment="1">
      <alignment horizontal="center" vertical="center" wrapText="1"/>
    </xf>
    <xf numFmtId="176" fontId="8" fillId="4" borderId="6" xfId="69" applyNumberFormat="1" applyFont="1" applyFill="1" applyBorder="1" applyAlignment="1">
      <alignment horizontal="center" vertical="center" wrapText="1"/>
    </xf>
    <xf numFmtId="0" fontId="8" fillId="4" borderId="7" xfId="14" applyNumberFormat="1" applyFont="1" applyFill="1" applyBorder="1" applyAlignment="1">
      <alignment horizontal="center" vertical="center" wrapText="1"/>
    </xf>
    <xf numFmtId="0" fontId="8" fillId="4" borderId="10" xfId="14" applyNumberFormat="1" applyFont="1" applyFill="1" applyBorder="1" applyAlignment="1">
      <alignment horizontal="center" vertical="center" wrapText="1"/>
    </xf>
    <xf numFmtId="0" fontId="8" fillId="4" borderId="6" xfId="14" applyNumberFormat="1" applyFont="1" applyFill="1" applyBorder="1" applyAlignment="1">
      <alignment horizontal="center" vertical="center" wrapText="1"/>
    </xf>
    <xf numFmtId="176" fontId="8" fillId="4" borderId="4" xfId="69" applyNumberFormat="1" applyFont="1" applyFill="1" applyBorder="1" applyAlignment="1">
      <alignment horizontal="center" vertical="center" wrapText="1"/>
    </xf>
    <xf numFmtId="176" fontId="7" fillId="5" borderId="0" xfId="69" applyNumberFormat="1" applyFont="1" applyFill="1" applyBorder="1" applyAlignment="1">
      <alignment horizontal="left" vertical="top" wrapText="1"/>
    </xf>
    <xf numFmtId="176" fontId="8" fillId="7" borderId="5" xfId="69" applyNumberFormat="1" applyFont="1" applyFill="1" applyBorder="1" applyAlignment="1">
      <alignment horizontal="center" vertical="center" wrapText="1"/>
    </xf>
    <xf numFmtId="176" fontId="8" fillId="7" borderId="3" xfId="69" applyNumberFormat="1" applyFont="1" applyFill="1" applyBorder="1" applyAlignment="1">
      <alignment horizontal="center" vertical="center" wrapText="1"/>
    </xf>
    <xf numFmtId="176" fontId="8" fillId="7" borderId="8" xfId="69" applyNumberFormat="1" applyFont="1" applyFill="1" applyBorder="1" applyAlignment="1">
      <alignment horizontal="center" vertical="center" wrapText="1"/>
    </xf>
    <xf numFmtId="0" fontId="7" fillId="0" borderId="0" xfId="14" applyFont="1" applyAlignment="1">
      <alignment horizontal="left" vertical="center" wrapText="1"/>
    </xf>
    <xf numFmtId="0" fontId="7" fillId="0" borderId="0" xfId="14" applyFont="1" applyAlignment="1">
      <alignment horizontal="left" vertical="center"/>
    </xf>
    <xf numFmtId="0" fontId="12" fillId="0" borderId="0" xfId="14" applyFont="1" applyAlignment="1">
      <alignment horizontal="center" vertical="center" wrapText="1"/>
    </xf>
    <xf numFmtId="0" fontId="8" fillId="4" borderId="7" xfId="14" applyFont="1" applyFill="1" applyBorder="1" applyAlignment="1">
      <alignment horizontal="center" vertical="center"/>
    </xf>
    <xf numFmtId="0" fontId="8" fillId="4" borderId="6" xfId="14" applyFont="1" applyFill="1" applyBorder="1" applyAlignment="1">
      <alignment horizontal="center" vertical="center"/>
    </xf>
    <xf numFmtId="0" fontId="17" fillId="0" borderId="0" xfId="10" applyFill="1" applyAlignment="1">
      <alignment horizontal="center" vertical="center"/>
    </xf>
    <xf numFmtId="0" fontId="8" fillId="4" borderId="4" xfId="10" applyFont="1" applyFill="1" applyBorder="1" applyAlignment="1">
      <alignment horizontal="center"/>
    </xf>
    <xf numFmtId="0" fontId="10" fillId="4" borderId="4" xfId="14" applyFont="1" applyFill="1" applyBorder="1" applyAlignment="1">
      <alignment horizontal="center" vertical="center"/>
    </xf>
    <xf numFmtId="0" fontId="8" fillId="4" borderId="4" xfId="10" applyFont="1" applyFill="1" applyBorder="1" applyAlignment="1">
      <alignment horizontal="center" vertical="top" wrapText="1"/>
    </xf>
    <xf numFmtId="0" fontId="17" fillId="0" borderId="4" xfId="10" applyBorder="1"/>
    <xf numFmtId="0" fontId="8" fillId="0" borderId="0" xfId="10" applyFont="1" applyBorder="1" applyAlignment="1">
      <alignment horizontal="center" vertical="top"/>
    </xf>
    <xf numFmtId="0" fontId="9" fillId="0" borderId="0" xfId="10" applyFont="1" applyAlignment="1">
      <alignment horizontal="center" vertical="center"/>
    </xf>
    <xf numFmtId="0" fontId="9" fillId="6" borderId="0" xfId="10" applyFont="1" applyFill="1" applyAlignment="1">
      <alignment horizontal="center" vertical="center"/>
    </xf>
    <xf numFmtId="0" fontId="9" fillId="7" borderId="4" xfId="10" applyFont="1" applyFill="1" applyBorder="1" applyAlignment="1">
      <alignment horizontal="center" vertical="center" wrapText="1"/>
    </xf>
    <xf numFmtId="0" fontId="8" fillId="0" borderId="0" xfId="10" applyFont="1" applyAlignment="1">
      <alignment horizontal="center" vertical="center" wrapText="1"/>
    </xf>
    <xf numFmtId="0" fontId="84" fillId="0" borderId="0" xfId="14" applyFont="1" applyAlignment="1">
      <alignment horizontal="left" vertical="center" wrapText="1"/>
    </xf>
    <xf numFmtId="0" fontId="8" fillId="0" borderId="0" xfId="10" applyFont="1" applyBorder="1" applyAlignment="1">
      <alignment horizontal="center" vertical="center" wrapText="1"/>
    </xf>
    <xf numFmtId="0" fontId="7" fillId="0" borderId="9" xfId="10" applyFont="1" applyBorder="1" applyAlignment="1">
      <alignment horizontal="center" vertical="center" wrapText="1"/>
    </xf>
    <xf numFmtId="0" fontId="7" fillId="0" borderId="11" xfId="10" applyFont="1" applyBorder="1" applyAlignment="1">
      <alignment horizontal="center" vertical="center" wrapText="1"/>
    </xf>
    <xf numFmtId="0" fontId="7" fillId="0" borderId="13" xfId="10" applyFont="1" applyBorder="1" applyAlignment="1">
      <alignment horizontal="center" vertical="center" wrapText="1"/>
    </xf>
    <xf numFmtId="0" fontId="7" fillId="0" borderId="12" xfId="10" applyFont="1" applyBorder="1" applyAlignment="1">
      <alignment horizontal="center" vertical="center" wrapText="1"/>
    </xf>
    <xf numFmtId="0" fontId="7" fillId="0" borderId="0" xfId="10" applyFont="1" applyBorder="1" applyAlignment="1">
      <alignment horizontal="center" vertical="center" wrapText="1"/>
    </xf>
    <xf numFmtId="0" fontId="7" fillId="0" borderId="14" xfId="10" applyFont="1" applyBorder="1" applyAlignment="1">
      <alignment horizontal="center" vertical="center" wrapText="1"/>
    </xf>
    <xf numFmtId="0" fontId="7" fillId="0" borderId="15" xfId="10" applyFont="1" applyBorder="1" applyAlignment="1">
      <alignment horizontal="center" vertical="center" wrapText="1"/>
    </xf>
    <xf numFmtId="0" fontId="7" fillId="0" borderId="16" xfId="10" applyFont="1" applyBorder="1" applyAlignment="1">
      <alignment horizontal="center" vertical="center" wrapText="1"/>
    </xf>
    <xf numFmtId="0" fontId="7" fillId="0" borderId="17" xfId="10" applyFont="1" applyBorder="1" applyAlignment="1">
      <alignment horizontal="center" vertical="center" wrapText="1"/>
    </xf>
    <xf numFmtId="0" fontId="7" fillId="0" borderId="9" xfId="71" applyFont="1" applyBorder="1" applyAlignment="1">
      <alignment horizontal="center" vertical="center"/>
    </xf>
    <xf numFmtId="0" fontId="7" fillId="0" borderId="11" xfId="71" applyFont="1" applyBorder="1" applyAlignment="1">
      <alignment horizontal="center" vertical="center"/>
    </xf>
    <xf numFmtId="0" fontId="7" fillId="0" borderId="13" xfId="71" applyFont="1" applyBorder="1" applyAlignment="1">
      <alignment horizontal="center" vertical="center"/>
    </xf>
    <xf numFmtId="0" fontId="7" fillId="0" borderId="12" xfId="71" applyFont="1" applyBorder="1" applyAlignment="1">
      <alignment horizontal="center" vertical="center"/>
    </xf>
    <xf numFmtId="0" fontId="7" fillId="0" borderId="0" xfId="71" applyFont="1" applyBorder="1" applyAlignment="1">
      <alignment horizontal="center" vertical="center"/>
    </xf>
    <xf numFmtId="0" fontId="7" fillId="0" borderId="14" xfId="71" applyFont="1" applyBorder="1" applyAlignment="1">
      <alignment horizontal="center" vertical="center"/>
    </xf>
    <xf numFmtId="0" fontId="7" fillId="0" borderId="15" xfId="71" applyFont="1" applyBorder="1" applyAlignment="1">
      <alignment horizontal="center" vertical="center"/>
    </xf>
    <xf numFmtId="0" fontId="7" fillId="0" borderId="16" xfId="71" applyFont="1" applyBorder="1" applyAlignment="1">
      <alignment horizontal="center" vertical="center"/>
    </xf>
    <xf numFmtId="0" fontId="7" fillId="0" borderId="17" xfId="71" applyFont="1" applyBorder="1" applyAlignment="1">
      <alignment horizontal="center" vertical="center"/>
    </xf>
    <xf numFmtId="0" fontId="8" fillId="0" borderId="9" xfId="35" applyFont="1" applyBorder="1" applyAlignment="1">
      <alignment horizontal="center" vertical="top"/>
    </xf>
    <xf numFmtId="0" fontId="8" fillId="0" borderId="11" xfId="35" applyFont="1" applyBorder="1" applyAlignment="1">
      <alignment horizontal="center" vertical="top"/>
    </xf>
    <xf numFmtId="0" fontId="8" fillId="0" borderId="13" xfId="35" applyFont="1" applyBorder="1" applyAlignment="1">
      <alignment horizontal="center" vertical="top"/>
    </xf>
    <xf numFmtId="0" fontId="8" fillId="0" borderId="12" xfId="35" applyFont="1" applyBorder="1" applyAlignment="1">
      <alignment horizontal="center" vertical="top"/>
    </xf>
    <xf numFmtId="0" fontId="8" fillId="0" borderId="0" xfId="35" applyFont="1" applyBorder="1" applyAlignment="1">
      <alignment horizontal="center" vertical="top"/>
    </xf>
    <xf numFmtId="0" fontId="8" fillId="0" borderId="14" xfId="35" applyFont="1" applyBorder="1" applyAlignment="1">
      <alignment horizontal="center" vertical="top"/>
    </xf>
    <xf numFmtId="0" fontId="8" fillId="0" borderId="15" xfId="35" applyFont="1" applyBorder="1" applyAlignment="1">
      <alignment horizontal="center" vertical="top"/>
    </xf>
    <xf numFmtId="0" fontId="8" fillId="0" borderId="16" xfId="35" applyFont="1" applyBorder="1" applyAlignment="1">
      <alignment horizontal="center" vertical="top"/>
    </xf>
    <xf numFmtId="0" fontId="8" fillId="0" borderId="17" xfId="35" applyFont="1" applyBorder="1" applyAlignment="1">
      <alignment horizontal="center" vertical="top"/>
    </xf>
    <xf numFmtId="0" fontId="8" fillId="4" borderId="7" xfId="35" applyFont="1" applyFill="1" applyBorder="1" applyAlignment="1">
      <alignment horizontal="left" vertical="center" wrapText="1"/>
    </xf>
    <xf numFmtId="0" fontId="8" fillId="4" borderId="10" xfId="35" applyFont="1" applyFill="1" applyBorder="1" applyAlignment="1">
      <alignment horizontal="left" vertical="center" wrapText="1"/>
    </xf>
    <xf numFmtId="0" fontId="7" fillId="0" borderId="10" xfId="71" applyFont="1" applyBorder="1" applyAlignment="1">
      <alignment horizontal="left" vertical="center" wrapText="1"/>
    </xf>
    <xf numFmtId="0" fontId="7" fillId="0" borderId="6" xfId="71" applyFont="1" applyBorder="1" applyAlignment="1">
      <alignment horizontal="left" vertical="center" wrapText="1"/>
    </xf>
    <xf numFmtId="0" fontId="8" fillId="4" borderId="6" xfId="35" applyFont="1" applyFill="1" applyBorder="1" applyAlignment="1">
      <alignment horizontal="left" vertical="center" wrapText="1"/>
    </xf>
    <xf numFmtId="0" fontId="8" fillId="4" borderId="5" xfId="35" applyFont="1" applyFill="1" applyBorder="1" applyAlignment="1">
      <alignment horizontal="center" vertical="center"/>
    </xf>
    <xf numFmtId="0" fontId="8" fillId="4" borderId="3" xfId="35" applyFont="1" applyFill="1" applyBorder="1" applyAlignment="1">
      <alignment horizontal="center" vertical="center"/>
    </xf>
    <xf numFmtId="0" fontId="8" fillId="4" borderId="8" xfId="35" applyFont="1" applyFill="1" applyBorder="1" applyAlignment="1">
      <alignment horizontal="center" vertical="center"/>
    </xf>
    <xf numFmtId="2" fontId="8" fillId="4" borderId="7" xfId="35" applyNumberFormat="1" applyFont="1" applyFill="1" applyBorder="1" applyAlignment="1">
      <alignment horizontal="center" vertical="top"/>
    </xf>
    <xf numFmtId="2" fontId="8" fillId="4" borderId="10" xfId="35" applyNumberFormat="1" applyFont="1" applyFill="1" applyBorder="1" applyAlignment="1">
      <alignment horizontal="center" vertical="top"/>
    </xf>
    <xf numFmtId="2" fontId="8" fillId="4" borderId="6" xfId="35" applyNumberFormat="1" applyFont="1" applyFill="1" applyBorder="1" applyAlignment="1">
      <alignment horizontal="center" vertical="top"/>
    </xf>
    <xf numFmtId="0" fontId="8" fillId="4" borderId="7" xfId="35" applyFont="1" applyFill="1" applyBorder="1" applyAlignment="1">
      <alignment horizontal="center" vertical="top" wrapText="1"/>
    </xf>
    <xf numFmtId="0" fontId="8" fillId="4" borderId="10" xfId="35" applyFont="1" applyFill="1" applyBorder="1" applyAlignment="1">
      <alignment horizontal="center" vertical="top" wrapText="1"/>
    </xf>
    <xf numFmtId="0" fontId="8" fillId="4" borderId="6" xfId="35" applyFont="1" applyFill="1" applyBorder="1" applyAlignment="1">
      <alignment horizontal="center" vertical="top" wrapText="1"/>
    </xf>
    <xf numFmtId="0" fontId="8" fillId="4" borderId="4" xfId="35" applyFont="1" applyFill="1" applyBorder="1" applyAlignment="1">
      <alignment horizontal="center" vertical="center" wrapText="1"/>
    </xf>
    <xf numFmtId="0" fontId="7" fillId="0" borderId="9" xfId="71" applyFont="1" applyBorder="1" applyAlignment="1">
      <alignment horizontal="center" vertical="center" wrapText="1"/>
    </xf>
    <xf numFmtId="0" fontId="7" fillId="0" borderId="11" xfId="71" applyFont="1" applyBorder="1" applyAlignment="1">
      <alignment horizontal="center" vertical="center" wrapText="1"/>
    </xf>
    <xf numFmtId="0" fontId="7" fillId="0" borderId="24" xfId="71" applyFont="1" applyBorder="1" applyAlignment="1">
      <alignment horizontal="center" vertical="center" wrapText="1"/>
    </xf>
    <xf numFmtId="0" fontId="7" fillId="0" borderId="12" xfId="71" applyFont="1" applyBorder="1" applyAlignment="1">
      <alignment horizontal="center" vertical="center" wrapText="1"/>
    </xf>
    <xf numFmtId="0" fontId="7" fillId="0" borderId="0" xfId="71" applyFont="1" applyBorder="1" applyAlignment="1">
      <alignment horizontal="center" vertical="center" wrapText="1"/>
    </xf>
    <xf numFmtId="0" fontId="7" fillId="0" borderId="25" xfId="71" applyFont="1" applyBorder="1" applyAlignment="1">
      <alignment horizontal="center" vertical="center" wrapText="1"/>
    </xf>
    <xf numFmtId="0" fontId="7" fillId="0" borderId="26" xfId="71" applyFont="1" applyBorder="1" applyAlignment="1">
      <alignment horizontal="center" vertical="center" wrapText="1"/>
    </xf>
    <xf numFmtId="0" fontId="7" fillId="0" borderId="27" xfId="71" applyFont="1" applyBorder="1" applyAlignment="1">
      <alignment horizontal="center" vertical="center" wrapText="1"/>
    </xf>
    <xf numFmtId="0" fontId="7" fillId="0" borderId="28" xfId="71" applyFont="1" applyBorder="1" applyAlignment="1">
      <alignment horizontal="center" vertical="center" wrapText="1"/>
    </xf>
    <xf numFmtId="0" fontId="8" fillId="0" borderId="9"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13" xfId="10" applyFont="1" applyBorder="1" applyAlignment="1">
      <alignment horizontal="center" vertical="center" wrapText="1"/>
    </xf>
    <xf numFmtId="0" fontId="8" fillId="0" borderId="12" xfId="10" applyFont="1" applyBorder="1" applyAlignment="1">
      <alignment horizontal="center" vertical="center" wrapText="1"/>
    </xf>
    <xf numFmtId="0" fontId="8" fillId="0" borderId="14" xfId="10" applyFont="1" applyBorder="1" applyAlignment="1">
      <alignment horizontal="center" vertical="center" wrapText="1"/>
    </xf>
    <xf numFmtId="0" fontId="8" fillId="0" borderId="15" xfId="10" applyFont="1" applyBorder="1" applyAlignment="1">
      <alignment horizontal="center" vertical="center" wrapText="1"/>
    </xf>
    <xf numFmtId="0" fontId="8" fillId="0" borderId="16" xfId="10" applyFont="1" applyBorder="1" applyAlignment="1">
      <alignment horizontal="center" vertical="center" wrapText="1"/>
    </xf>
    <xf numFmtId="0" fontId="8" fillId="0" borderId="17" xfId="10" applyFont="1" applyBorder="1" applyAlignment="1">
      <alignment horizontal="center" vertical="center" wrapText="1"/>
    </xf>
    <xf numFmtId="0" fontId="8" fillId="4" borderId="5" xfId="10" applyFont="1" applyFill="1" applyBorder="1" applyAlignment="1">
      <alignment horizontal="center" vertical="top" wrapText="1"/>
    </xf>
    <xf numFmtId="0" fontId="8" fillId="4" borderId="3" xfId="10" applyFont="1" applyFill="1" applyBorder="1" applyAlignment="1">
      <alignment horizontal="center" vertical="top" wrapText="1"/>
    </xf>
    <xf numFmtId="0" fontId="8" fillId="4" borderId="8" xfId="10" applyFont="1" applyFill="1" applyBorder="1" applyAlignment="1">
      <alignment horizontal="center" vertical="top" wrapText="1"/>
    </xf>
    <xf numFmtId="0" fontId="7" fillId="0" borderId="0" xfId="10" applyFont="1" applyAlignment="1">
      <alignment horizontal="left" wrapText="1"/>
    </xf>
    <xf numFmtId="0" fontId="8" fillId="0" borderId="7" xfId="10" quotePrefix="1" applyFont="1" applyBorder="1" applyAlignment="1">
      <alignment horizontal="center" vertical="center"/>
    </xf>
    <xf numFmtId="0" fontId="8" fillId="0" borderId="10" xfId="10" quotePrefix="1" applyFont="1" applyBorder="1" applyAlignment="1">
      <alignment horizontal="center" vertical="center"/>
    </xf>
    <xf numFmtId="0" fontId="8" fillId="0" borderId="6" xfId="10" quotePrefix="1" applyFont="1" applyBorder="1" applyAlignment="1">
      <alignment horizontal="center" vertical="center"/>
    </xf>
    <xf numFmtId="0" fontId="8" fillId="0" borderId="0" xfId="10" applyFont="1" applyAlignment="1">
      <alignment horizontal="center" vertical="center"/>
    </xf>
    <xf numFmtId="0" fontId="8" fillId="0" borderId="0" xfId="71" applyFont="1" applyAlignment="1">
      <alignment horizontal="center" vertical="center"/>
    </xf>
    <xf numFmtId="0" fontId="8" fillId="4" borderId="5" xfId="35" applyFont="1" applyFill="1" applyBorder="1" applyAlignment="1">
      <alignment horizontal="center" vertical="top" wrapText="1"/>
    </xf>
    <xf numFmtId="0" fontId="8" fillId="4" borderId="8" xfId="35" applyFont="1" applyFill="1" applyBorder="1" applyAlignment="1">
      <alignment horizontal="center" vertical="top" wrapText="1"/>
    </xf>
    <xf numFmtId="0" fontId="7" fillId="0" borderId="9" xfId="35" applyFont="1" applyBorder="1" applyAlignment="1">
      <alignment horizontal="center" vertical="center"/>
    </xf>
    <xf numFmtId="0" fontId="7" fillId="0" borderId="11" xfId="35" applyFont="1" applyBorder="1" applyAlignment="1">
      <alignment horizontal="center" vertical="center"/>
    </xf>
    <xf numFmtId="0" fontId="7" fillId="0" borderId="13" xfId="35" applyFont="1" applyBorder="1" applyAlignment="1">
      <alignment horizontal="center" vertical="center"/>
    </xf>
    <xf numFmtId="0" fontId="7" fillId="0" borderId="12" xfId="35" applyFont="1" applyBorder="1" applyAlignment="1">
      <alignment horizontal="center" vertical="center"/>
    </xf>
    <xf numFmtId="0" fontId="7" fillId="0" borderId="0" xfId="35" applyFont="1" applyBorder="1" applyAlignment="1">
      <alignment horizontal="center" vertical="center"/>
    </xf>
    <xf numFmtId="0" fontId="7" fillId="0" borderId="14" xfId="35" applyFont="1" applyBorder="1" applyAlignment="1">
      <alignment horizontal="center" vertical="center"/>
    </xf>
    <xf numFmtId="0" fontId="7" fillId="0" borderId="26" xfId="35" applyFont="1" applyBorder="1" applyAlignment="1">
      <alignment horizontal="center" vertical="center"/>
    </xf>
    <xf numFmtId="0" fontId="7" fillId="0" borderId="27" xfId="35" applyFont="1" applyBorder="1" applyAlignment="1">
      <alignment horizontal="center" vertical="center"/>
    </xf>
    <xf numFmtId="0" fontId="7" fillId="0" borderId="29" xfId="35" applyFont="1" applyBorder="1" applyAlignment="1">
      <alignment horizontal="center" vertical="center"/>
    </xf>
    <xf numFmtId="0" fontId="8" fillId="7" borderId="7" xfId="71" applyFont="1" applyFill="1" applyBorder="1" applyAlignment="1">
      <alignment horizontal="center" vertical="top" wrapText="1"/>
    </xf>
    <xf numFmtId="0" fontId="8" fillId="7" borderId="10" xfId="71" applyFont="1" applyFill="1" applyBorder="1" applyAlignment="1">
      <alignment horizontal="center" vertical="top" wrapText="1"/>
    </xf>
    <xf numFmtId="0" fontId="8" fillId="7" borderId="6" xfId="71" applyFont="1" applyFill="1" applyBorder="1" applyAlignment="1">
      <alignment horizontal="center" vertical="top" wrapText="1"/>
    </xf>
    <xf numFmtId="0" fontId="8" fillId="7" borderId="4" xfId="71" applyFont="1" applyFill="1" applyBorder="1" applyAlignment="1">
      <alignment horizontal="center"/>
    </xf>
    <xf numFmtId="0" fontId="39" fillId="12" borderId="7" xfId="79" applyFont="1" applyFill="1" applyBorder="1" applyAlignment="1">
      <alignment horizontal="center" vertical="center" wrapText="1"/>
    </xf>
    <xf numFmtId="0" fontId="39" fillId="12" borderId="6" xfId="79" applyFont="1" applyFill="1" applyBorder="1" applyAlignment="1">
      <alignment horizontal="center" vertical="center" wrapText="1"/>
    </xf>
    <xf numFmtId="0" fontId="41" fillId="12" borderId="5" xfId="79" applyFont="1" applyFill="1" applyBorder="1" applyAlignment="1">
      <alignment horizontal="center"/>
    </xf>
    <xf numFmtId="0" fontId="41" fillId="12" borderId="3" xfId="79" applyFont="1" applyFill="1" applyBorder="1" applyAlignment="1">
      <alignment horizontal="center"/>
    </xf>
    <xf numFmtId="0" fontId="41" fillId="12" borderId="8" xfId="79" applyFont="1" applyFill="1" applyBorder="1" applyAlignment="1">
      <alignment horizontal="center"/>
    </xf>
    <xf numFmtId="0" fontId="8" fillId="6" borderId="0" xfId="10" applyFont="1" applyFill="1" applyAlignment="1">
      <alignment horizontal="center" vertical="center"/>
    </xf>
    <xf numFmtId="0" fontId="39" fillId="12" borderId="7" xfId="79" applyFont="1" applyFill="1" applyBorder="1" applyAlignment="1">
      <alignment horizontal="center" vertical="center"/>
    </xf>
    <xf numFmtId="0" fontId="39" fillId="12" borderId="6" xfId="79" applyFont="1" applyFill="1" applyBorder="1" applyAlignment="1">
      <alignment horizontal="center" vertical="center"/>
    </xf>
    <xf numFmtId="0" fontId="7" fillId="0" borderId="7" xfId="14" applyFont="1" applyBorder="1" applyAlignment="1">
      <alignment horizontal="center" vertical="center"/>
    </xf>
    <xf numFmtId="0" fontId="7" fillId="0" borderId="10" xfId="14" applyFont="1" applyBorder="1" applyAlignment="1">
      <alignment horizontal="center" vertical="center"/>
    </xf>
    <xf numFmtId="0" fontId="7" fillId="0" borderId="6" xfId="14" applyFont="1" applyBorder="1" applyAlignment="1">
      <alignment horizontal="center" vertical="center"/>
    </xf>
    <xf numFmtId="0" fontId="31" fillId="0" borderId="7" xfId="19" applyFont="1" applyBorder="1" applyAlignment="1">
      <alignment horizontal="center" vertical="center"/>
    </xf>
    <xf numFmtId="0" fontId="31" fillId="0" borderId="10" xfId="19" applyFont="1" applyBorder="1" applyAlignment="1">
      <alignment horizontal="center" vertical="center"/>
    </xf>
    <xf numFmtId="0" fontId="31" fillId="0" borderId="6" xfId="19" applyFont="1" applyBorder="1" applyAlignment="1">
      <alignment horizontal="center" vertical="center"/>
    </xf>
    <xf numFmtId="0" fontId="40" fillId="0" borderId="0" xfId="14" applyFont="1" applyAlignment="1">
      <alignment horizontal="left" vertical="center"/>
    </xf>
    <xf numFmtId="0" fontId="30" fillId="0" borderId="9" xfId="19" applyFont="1" applyFill="1" applyBorder="1" applyAlignment="1">
      <alignment horizontal="center" vertical="center"/>
    </xf>
    <xf numFmtId="0" fontId="30" fillId="0" borderId="11" xfId="19" applyFont="1" applyFill="1" applyBorder="1" applyAlignment="1">
      <alignment horizontal="center" vertical="center"/>
    </xf>
    <xf numFmtId="0" fontId="30" fillId="0" borderId="13" xfId="19" applyFont="1" applyFill="1" applyBorder="1" applyAlignment="1">
      <alignment horizontal="center" vertical="center"/>
    </xf>
    <xf numFmtId="0" fontId="30" fillId="0" borderId="12" xfId="19" applyFont="1" applyFill="1" applyBorder="1" applyAlignment="1">
      <alignment horizontal="center" vertical="center"/>
    </xf>
    <xf numFmtId="0" fontId="30" fillId="0" borderId="0" xfId="19" applyFont="1" applyFill="1" applyBorder="1" applyAlignment="1">
      <alignment horizontal="center" vertical="center"/>
    </xf>
    <xf numFmtId="0" fontId="30" fillId="0" borderId="14" xfId="19" applyFont="1" applyFill="1" applyBorder="1" applyAlignment="1">
      <alignment horizontal="center" vertical="center"/>
    </xf>
    <xf numFmtId="0" fontId="30" fillId="0" borderId="15" xfId="19" applyFont="1" applyFill="1" applyBorder="1" applyAlignment="1">
      <alignment horizontal="center" vertical="center"/>
    </xf>
    <xf numFmtId="0" fontId="30" fillId="0" borderId="16" xfId="19" applyFont="1" applyFill="1" applyBorder="1" applyAlignment="1">
      <alignment horizontal="center" vertical="center"/>
    </xf>
    <xf numFmtId="0" fontId="30" fillId="0" borderId="17" xfId="19" applyFont="1" applyFill="1" applyBorder="1" applyAlignment="1">
      <alignment horizontal="center" vertical="center"/>
    </xf>
    <xf numFmtId="0" fontId="31" fillId="0" borderId="9" xfId="19" applyFont="1" applyFill="1" applyBorder="1" applyAlignment="1">
      <alignment horizontal="center" vertical="center"/>
    </xf>
    <xf numFmtId="0" fontId="31" fillId="0" borderId="11" xfId="19" applyFont="1" applyFill="1" applyBorder="1" applyAlignment="1">
      <alignment horizontal="center" vertical="center"/>
    </xf>
    <xf numFmtId="0" fontId="31" fillId="0" borderId="13" xfId="19" applyFont="1" applyFill="1" applyBorder="1" applyAlignment="1">
      <alignment horizontal="center" vertical="center"/>
    </xf>
    <xf numFmtId="0" fontId="31" fillId="0" borderId="12" xfId="19" applyFont="1" applyFill="1" applyBorder="1" applyAlignment="1">
      <alignment horizontal="center" vertical="center"/>
    </xf>
    <xf numFmtId="0" fontId="31" fillId="0" borderId="0" xfId="19" applyFont="1" applyFill="1" applyBorder="1" applyAlignment="1">
      <alignment horizontal="center" vertical="center"/>
    </xf>
    <xf numFmtId="0" fontId="31" fillId="0" borderId="14" xfId="19" applyFont="1" applyFill="1" applyBorder="1" applyAlignment="1">
      <alignment horizontal="center" vertical="center"/>
    </xf>
    <xf numFmtId="0" fontId="31" fillId="0" borderId="15" xfId="19" applyFont="1" applyFill="1" applyBorder="1" applyAlignment="1">
      <alignment horizontal="center" vertical="center"/>
    </xf>
    <xf numFmtId="0" fontId="31" fillId="0" borderId="16" xfId="19" applyFont="1" applyFill="1" applyBorder="1" applyAlignment="1">
      <alignment horizontal="center" vertical="center"/>
    </xf>
    <xf numFmtId="0" fontId="31" fillId="0" borderId="17" xfId="19" applyFont="1" applyFill="1" applyBorder="1" applyAlignment="1">
      <alignment horizontal="center" vertical="center"/>
    </xf>
    <xf numFmtId="0" fontId="8" fillId="7" borderId="7" xfId="68" applyFont="1" applyFill="1" applyBorder="1" applyAlignment="1">
      <alignment horizontal="center" vertical="center"/>
    </xf>
    <xf numFmtId="0" fontId="8" fillId="7" borderId="6" xfId="68" applyFont="1" applyFill="1" applyBorder="1" applyAlignment="1">
      <alignment horizontal="center" vertical="center"/>
    </xf>
    <xf numFmtId="0" fontId="8" fillId="7" borderId="5" xfId="31" applyFont="1" applyFill="1" applyBorder="1" applyAlignment="1">
      <alignment horizontal="center" vertical="center" wrapText="1"/>
    </xf>
    <xf numFmtId="0" fontId="8" fillId="7" borderId="3" xfId="31" applyFont="1" applyFill="1" applyBorder="1" applyAlignment="1">
      <alignment horizontal="center" vertical="center" wrapText="1"/>
    </xf>
    <xf numFmtId="0" fontId="8" fillId="7" borderId="8" xfId="31" applyFont="1" applyFill="1" applyBorder="1" applyAlignment="1">
      <alignment horizontal="center" vertical="center" wrapText="1"/>
    </xf>
    <xf numFmtId="0" fontId="8" fillId="7" borderId="4" xfId="31" applyFont="1" applyFill="1" applyBorder="1" applyAlignment="1">
      <alignment horizontal="center" vertical="center" wrapText="1"/>
    </xf>
    <xf numFmtId="0" fontId="0" fillId="0" borderId="4" xfId="10" applyFont="1" applyBorder="1" applyAlignment="1">
      <alignment horizontal="center" vertical="center" wrapText="1"/>
    </xf>
    <xf numFmtId="0" fontId="8" fillId="4" borderId="10" xfId="10" applyFont="1" applyFill="1" applyBorder="1" applyAlignment="1">
      <alignment horizontal="center" vertical="center"/>
    </xf>
    <xf numFmtId="0" fontId="0" fillId="0" borderId="0" xfId="10" applyFont="1" applyAlignment="1">
      <alignment horizontal="center" vertical="center"/>
    </xf>
    <xf numFmtId="0" fontId="0" fillId="0" borderId="4" xfId="10" applyFont="1" applyBorder="1" applyAlignment="1">
      <alignment horizontal="center" vertical="center"/>
    </xf>
  </cellXfs>
  <cellStyles count="88">
    <cellStyle name="Body" xfId="1" xr:uid="{00000000-0005-0000-0000-000000000000}"/>
    <cellStyle name="Comma" xfId="69" builtinId="3"/>
    <cellStyle name="Comma  - Style1" xfId="2" xr:uid="{00000000-0005-0000-0000-000002000000}"/>
    <cellStyle name="Comma 10" xfId="73" xr:uid="{00000000-0005-0000-0000-000003000000}"/>
    <cellStyle name="Comma 11" xfId="83" xr:uid="{00000000-0005-0000-0000-000004000000}"/>
    <cellStyle name="Comma 11 2" xfId="20" xr:uid="{00000000-0005-0000-0000-000005000000}"/>
    <cellStyle name="Comma 11 2 2" xfId="87" xr:uid="{00000000-0005-0000-0000-000006000000}"/>
    <cellStyle name="Comma 2" xfId="25" xr:uid="{00000000-0005-0000-0000-000007000000}"/>
    <cellStyle name="Comma 2 2" xfId="26" xr:uid="{00000000-0005-0000-0000-000008000000}"/>
    <cellStyle name="Comma 2 2 2" xfId="64" xr:uid="{00000000-0005-0000-0000-000009000000}"/>
    <cellStyle name="Comma 2 3" xfId="27" xr:uid="{00000000-0005-0000-0000-00000A000000}"/>
    <cellStyle name="Comma 2 4" xfId="57" xr:uid="{00000000-0005-0000-0000-00000B000000}"/>
    <cellStyle name="Comma 3" xfId="28" xr:uid="{00000000-0005-0000-0000-00000C000000}"/>
    <cellStyle name="Comma 3 2" xfId="63" xr:uid="{00000000-0005-0000-0000-00000D000000}"/>
    <cellStyle name="Comma 3 2 3" xfId="80" xr:uid="{00000000-0005-0000-0000-00000E000000}"/>
    <cellStyle name="Comma 4" xfId="29" xr:uid="{00000000-0005-0000-0000-00000F000000}"/>
    <cellStyle name="Comma 4 2" xfId="65" xr:uid="{00000000-0005-0000-0000-000010000000}"/>
    <cellStyle name="Comma 4 2 3" xfId="81" xr:uid="{00000000-0005-0000-0000-000011000000}"/>
    <cellStyle name="Comma 5" xfId="30" xr:uid="{00000000-0005-0000-0000-000012000000}"/>
    <cellStyle name="Comma 6" xfId="49" xr:uid="{00000000-0005-0000-0000-000013000000}"/>
    <cellStyle name="Comma 6 2" xfId="50" xr:uid="{00000000-0005-0000-0000-000014000000}"/>
    <cellStyle name="Comma 6 3" xfId="51" xr:uid="{00000000-0005-0000-0000-000015000000}"/>
    <cellStyle name="Comma 6 4" xfId="52" xr:uid="{00000000-0005-0000-0000-000016000000}"/>
    <cellStyle name="Comma 6 5" xfId="76" xr:uid="{00000000-0005-0000-0000-000017000000}"/>
    <cellStyle name="Comma 7" xfId="22" xr:uid="{00000000-0005-0000-0000-000018000000}"/>
    <cellStyle name="Comma 8" xfId="66" xr:uid="{00000000-0005-0000-0000-000019000000}"/>
    <cellStyle name="Comma 8 3" xfId="82" xr:uid="{00000000-0005-0000-0000-00001A000000}"/>
    <cellStyle name="Comma 9" xfId="72" xr:uid="{00000000-0005-0000-0000-00001B000000}"/>
    <cellStyle name="Curren - Style2" xfId="3" xr:uid="{00000000-0005-0000-0000-00001C000000}"/>
    <cellStyle name="Grey" xfId="4" xr:uid="{00000000-0005-0000-0000-00001D000000}"/>
    <cellStyle name="Header1" xfId="5" xr:uid="{00000000-0005-0000-0000-00001E000000}"/>
    <cellStyle name="Header2" xfId="6" xr:uid="{00000000-0005-0000-0000-00001F000000}"/>
    <cellStyle name="Input [yellow]" xfId="7" xr:uid="{00000000-0005-0000-0000-000020000000}"/>
    <cellStyle name="no dec" xfId="8" xr:uid="{00000000-0005-0000-0000-000021000000}"/>
    <cellStyle name="Normal" xfId="0" builtinId="0"/>
    <cellStyle name="Normal - Style1" xfId="9" xr:uid="{00000000-0005-0000-0000-000023000000}"/>
    <cellStyle name="Normal 10" xfId="74" xr:uid="{00000000-0005-0000-0000-000024000000}"/>
    <cellStyle name="Normal 11" xfId="84" xr:uid="{00000000-0005-0000-0000-000025000000}"/>
    <cellStyle name="Normal 142" xfId="71" xr:uid="{00000000-0005-0000-0000-000026000000}"/>
    <cellStyle name="Normal 15" xfId="19" xr:uid="{00000000-0005-0000-0000-000027000000}"/>
    <cellStyle name="Normal 15 2" xfId="86" xr:uid="{00000000-0005-0000-0000-000028000000}"/>
    <cellStyle name="Normal 18" xfId="62" xr:uid="{00000000-0005-0000-0000-000029000000}"/>
    <cellStyle name="Normal 18 3" xfId="79" xr:uid="{00000000-0005-0000-0000-00002A000000}"/>
    <cellStyle name="Normal 2" xfId="10" xr:uid="{00000000-0005-0000-0000-00002B000000}"/>
    <cellStyle name="Normal 2 2" xfId="11" xr:uid="{00000000-0005-0000-0000-00002C000000}"/>
    <cellStyle name="Normal 2 2 2" xfId="31" xr:uid="{00000000-0005-0000-0000-00002D000000}"/>
    <cellStyle name="Normal 2 2 2 2" xfId="58" xr:uid="{00000000-0005-0000-0000-00002E000000}"/>
    <cellStyle name="Normal 2 2_Working APR 2007-08 Mahagenco_Bhushan_1.3" xfId="32" xr:uid="{00000000-0005-0000-0000-00002F000000}"/>
    <cellStyle name="Normal 2 3" xfId="12" xr:uid="{00000000-0005-0000-0000-000030000000}"/>
    <cellStyle name="Normal 2 4" xfId="53" xr:uid="{00000000-0005-0000-0000-000031000000}"/>
    <cellStyle name="Normal 2_ARR FINAL" xfId="33" xr:uid="{00000000-0005-0000-0000-000032000000}"/>
    <cellStyle name="Normal 3" xfId="13" xr:uid="{00000000-0005-0000-0000-000033000000}"/>
    <cellStyle name="Normal 3 2" xfId="34" xr:uid="{00000000-0005-0000-0000-000034000000}"/>
    <cellStyle name="Normal 3 2 2" xfId="59" xr:uid="{00000000-0005-0000-0000-000035000000}"/>
    <cellStyle name="Normal 39" xfId="23" xr:uid="{00000000-0005-0000-0000-000036000000}"/>
    <cellStyle name="Normal 4" xfId="35" xr:uid="{00000000-0005-0000-0000-000037000000}"/>
    <cellStyle name="Normal 4 2" xfId="60" xr:uid="{00000000-0005-0000-0000-000038000000}"/>
    <cellStyle name="Normal 5" xfId="36" xr:uid="{00000000-0005-0000-0000-000039000000}"/>
    <cellStyle name="Normal 5 2" xfId="37" xr:uid="{00000000-0005-0000-0000-00003A000000}"/>
    <cellStyle name="Normal 6" xfId="38" xr:uid="{00000000-0005-0000-0000-00003B000000}"/>
    <cellStyle name="Normal 7" xfId="39" xr:uid="{00000000-0005-0000-0000-00003C000000}"/>
    <cellStyle name="Normal 8" xfId="54" xr:uid="{00000000-0005-0000-0000-00003D000000}"/>
    <cellStyle name="Normal 9" xfId="55" xr:uid="{00000000-0005-0000-0000-00003E000000}"/>
    <cellStyle name="Normal_FORMATS 5 YEAR ALOKE 2" xfId="14" xr:uid="{00000000-0005-0000-0000-00003F000000}"/>
    <cellStyle name="Normal_FORMATS 5 YEAR ALOKE 2 2" xfId="68" xr:uid="{00000000-0005-0000-0000-000040000000}"/>
    <cellStyle name="Normal_FORMATS 5 YEAR ALOKE 3 2" xfId="15" xr:uid="{00000000-0005-0000-0000-000041000000}"/>
    <cellStyle name="Normal_FORMATS 5 YEAR ALOKE 4" xfId="78" xr:uid="{00000000-0005-0000-0000-000042000000}"/>
    <cellStyle name="Normal_Sheet1" xfId="77" xr:uid="{00000000-0005-0000-0000-000043000000}"/>
    <cellStyle name="Percent" xfId="70" builtinId="5"/>
    <cellStyle name="Percent [0]_#6 Temps &amp; Contractors" xfId="16" xr:uid="{00000000-0005-0000-0000-000045000000}"/>
    <cellStyle name="Percent [2]" xfId="17" xr:uid="{00000000-0005-0000-0000-000046000000}"/>
    <cellStyle name="Percent 2" xfId="40" xr:uid="{00000000-0005-0000-0000-000047000000}"/>
    <cellStyle name="Percent 2 2" xfId="41" xr:uid="{00000000-0005-0000-0000-000048000000}"/>
    <cellStyle name="Percent 2 3" xfId="61" xr:uid="{00000000-0005-0000-0000-000049000000}"/>
    <cellStyle name="Percent 3" xfId="42" xr:uid="{00000000-0005-0000-0000-00004A000000}"/>
    <cellStyle name="Percent 3 2" xfId="43" xr:uid="{00000000-0005-0000-0000-00004B000000}"/>
    <cellStyle name="Percent 4" xfId="24" xr:uid="{00000000-0005-0000-0000-00004C000000}"/>
    <cellStyle name="Percent 41" xfId="21" xr:uid="{00000000-0005-0000-0000-00004D000000}"/>
    <cellStyle name="Percent 5" xfId="44" xr:uid="{00000000-0005-0000-0000-00004E000000}"/>
    <cellStyle name="Percent 5 2" xfId="45" xr:uid="{00000000-0005-0000-0000-00004F000000}"/>
    <cellStyle name="Percent 5 3" xfId="46" xr:uid="{00000000-0005-0000-0000-000050000000}"/>
    <cellStyle name="Percent 6" xfId="47" xr:uid="{00000000-0005-0000-0000-000051000000}"/>
    <cellStyle name="Percent 6 2" xfId="48" xr:uid="{00000000-0005-0000-0000-000052000000}"/>
    <cellStyle name="Percent 7" xfId="67" xr:uid="{00000000-0005-0000-0000-000053000000}"/>
    <cellStyle name="Percent 8" xfId="75" xr:uid="{00000000-0005-0000-0000-000054000000}"/>
    <cellStyle name="Percent 9" xfId="85" xr:uid="{00000000-0005-0000-0000-000055000000}"/>
    <cellStyle name="Style 1" xfId="18" xr:uid="{00000000-0005-0000-0000-000056000000}"/>
    <cellStyle name="Style 2" xfId="56" xr:uid="{00000000-0005-0000-0000-000057000000}"/>
  </cellStyles>
  <dxfs count="6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A6A6A6"/>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A6A6A6"/>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colors>
    <mruColors>
      <color rgb="FFFBC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externalLink" Target="externalLinks/externalLink1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1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ID%20Energy\Work\MSPGCL%20True%20Up%20Fy%202010-11\Earlier%20Orders\EXCEL%20MODELS%20FINAL\PwC_MSPGCL_20.12.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bank\1-Projects%20In%20Hand\DFID\ARR%202003-04\Arr%20Petition%202003-04\For%20Submission\ARR%20Forms%20For%20Submis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anurag\My%20Documents\petitions\Petition%20for%20trans%20ARR.doc\Databank\1-Projects%20In%20Hand\DFID\ARR%202003-04\Arr%20Petition%202003-04\For%20Submission\ARR%20Forms%20For%20Submis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ameer's%20folder\MSEB\Tariff%20Filing%202003-04\Outputs\Models\Working%20Models\old\Dispatch%20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REL"/>
      <sheetName val="03-04|71"/>
      <sheetName val="03-04|72"/>
      <sheetName val="03-04|74"/>
      <sheetName val="03-04|75"/>
      <sheetName val="03-04|76"/>
      <sheetName val="03-04|77"/>
      <sheetName val="03-04|79"/>
      <sheetName val="03-04|83"/>
      <sheetName val="03-04|Master"/>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po-log - curr. rate"/>
      <sheetName val="teo model"/>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Inputs &amp; Assumptions"/>
      <sheetName val="Daily_input"/>
      <sheetName val="Daily_report"/>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Unit_Rate"/>
      <sheetName val="160MVA_Addl"/>
      <sheetName val="220KV_FB"/>
      <sheetName val="315MVA_Addl"/>
      <sheetName val="Addl_401"/>
      <sheetName val="Addl_20"/>
      <sheetName val="Addl_63_(2)"/>
      <sheetName val="A 3_7"/>
      <sheetName val="04REL"/>
      <sheetName val="data"/>
      <sheetName val="Data base Feb 09"/>
      <sheetName val="grid"/>
      <sheetName val="132kv DCDS"/>
      <sheetName val=""/>
      <sheetName val="Salient1"/>
      <sheetName val="Cat_Ser_load"/>
      <sheetName val="Sheet1"/>
      <sheetName val="PACK (B)"/>
      <sheetName val="Unit_Rate1"/>
      <sheetName val="160MVA_Addl1"/>
      <sheetName val="220KV_FB1"/>
      <sheetName val="315MVA_Addl1"/>
      <sheetName val="Addl_402"/>
      <sheetName val="Addl_201"/>
      <sheetName val="Addl_63_(2)1"/>
      <sheetName val="A_3_7"/>
      <sheetName val="Data_base_Feb_09"/>
      <sheetName val="132kv_DCDS"/>
      <sheetName val="PACK_(B)"/>
      <sheetName val="STN WISE EMR"/>
      <sheetName val="Inputs"/>
      <sheetName val="A"/>
      <sheetName val="Dom"/>
      <sheetName val="ATP"/>
      <sheetName val="R_Hrs_ Since Comm"/>
      <sheetName val="Calculations 1"/>
      <sheetName val="Consolidated"/>
      <sheetName val="Input"/>
      <sheetName val="Phasing 1"/>
      <sheetName val="Results"/>
      <sheetName val="Coal-Cal"/>
      <sheetName val="Introduction"/>
      <sheetName val="Calculations 2"/>
      <sheetName val="Calculations 3"/>
      <sheetName val="Calculations 4"/>
      <sheetName val="Calculations 5"/>
      <sheetName val="Phasing 3"/>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Instruction Sheet"/>
      <sheetName val="CE"/>
      <sheetName val="Adj.TB"/>
      <sheetName val="Sheet2"/>
      <sheetName val="Citrix"/>
      <sheetName val="UK"/>
      <sheetName val="Scheme Area Details_Block__ C2"/>
      <sheetName val="New33KVSS_E3"/>
      <sheetName val="Prop aug of Ex 33KVSS_E3a"/>
      <sheetName val="Coalmine"/>
      <sheetName val="SUMMERY"/>
      <sheetName val="Work_sheet"/>
      <sheetName val="dpc cost"/>
      <sheetName val="Survey Status_2"/>
      <sheetName val="TRP"/>
      <sheetName val="Basis"/>
      <sheetName val="Scheme_Area_Details_Block___C2"/>
      <sheetName val="Prop_aug_of_Ex_33KVSS_E3a"/>
      <sheetName val="Unit_Rate2"/>
      <sheetName val="160MVA_Addl2"/>
      <sheetName val="220KV_FB2"/>
      <sheetName val="315MVA_Addl2"/>
      <sheetName val="Addl_403"/>
      <sheetName val="Addl_202"/>
      <sheetName val="Addl_63_(2)2"/>
      <sheetName val="132kv_DCDS1"/>
      <sheetName val="A_3_71"/>
      <sheetName val="Data_base_Feb_091"/>
      <sheetName val="R_Hrs__Since_Comm"/>
      <sheetName val="Scheme_Area_Details_Block___C21"/>
      <sheetName val="Prop_aug_of_Ex_33KVSS_E3a1"/>
      <sheetName val="STN_WISE_EMR"/>
      <sheetName val="Report"/>
      <sheetName val="Latest revised Cost Estimates f"/>
      <sheetName val="Form 6"/>
      <sheetName val="220Kv (2)"/>
      <sheetName val="220Kv"/>
      <sheetName val="Unit_Rate3"/>
      <sheetName val="160MVA_Addl3"/>
      <sheetName val="220KV_FB3"/>
      <sheetName val="315MVA_Addl3"/>
      <sheetName val="Addl_404"/>
      <sheetName val="Addl_203"/>
      <sheetName val="Addl_63_(2)3"/>
      <sheetName val="132kv_DCDS2"/>
      <sheetName val="A_3_72"/>
      <sheetName val="Data_base_Feb_092"/>
      <sheetName val="% of Elect"/>
      <sheetName val="cap all"/>
      <sheetName val="Lead Statement"/>
      <sheetName val="Detailed Estimate"/>
      <sheetName val="Labour charges"/>
      <sheetName val="Sheet3"/>
      <sheetName val="A2-02-03"/>
      <sheetName val="all"/>
      <sheetName val="Form-C4"/>
      <sheetName val="RevenueInput"/>
      <sheetName val="cover1"/>
      <sheetName val="QOSWS "/>
      <sheetName val="QFC"/>
      <sheetName val="DE"/>
      <sheetName val="J"/>
      <sheetName val="BOQ"/>
      <sheetName val="BSPL"/>
      <sheetName val="BREAKUP OF OIL"/>
      <sheetName val="Unit_Rate4"/>
      <sheetName val="160MVA_Addl4"/>
      <sheetName val="220KV_FB4"/>
      <sheetName val="315MVA_Addl4"/>
      <sheetName val="Addl_405"/>
      <sheetName val="Addl_204"/>
      <sheetName val="Addl_63_(2)4"/>
      <sheetName val="A_3_73"/>
      <sheetName val="Data_base_Feb_093"/>
      <sheetName val="132kv_DCDS3"/>
      <sheetName val="PACK_(B)1"/>
      <sheetName val="STN_WISE_EMR1"/>
      <sheetName val="Calculations_1"/>
      <sheetName val="Phasing_1"/>
      <sheetName val="Calculations_2"/>
      <sheetName val="Calculations_3"/>
      <sheetName val="Calculations_4"/>
      <sheetName val="Calculations_5"/>
      <sheetName val="Phasing_3"/>
      <sheetName val="R_Hrs__Since_Comm1"/>
      <sheetName val="Scheme_Area_Details_Block___C22"/>
      <sheetName val="Prop_aug_of_Ex_33KVSS_E3a2"/>
      <sheetName val="Adj_TB"/>
      <sheetName val="Input_sheet"/>
      <sheetName val="BPlan_Energy_Balance_Table"/>
      <sheetName val="Approved_Energy_Balance"/>
      <sheetName val="Energy_Requirement"/>
      <sheetName val="CE_PPA_Installed_"/>
      <sheetName val="Table_for_Business_Plan"/>
      <sheetName val="UPERC_approved_"/>
      <sheetName val="May19_"/>
      <sheetName val="July-19_"/>
      <sheetName val="Sep-19_"/>
      <sheetName val="PP_FY_2019-20_(Monthly)"/>
      <sheetName val="PLF_Computation"/>
      <sheetName val="FY_19_20"/>
      <sheetName val="FY_20_21"/>
      <sheetName val="FY_21_22"/>
      <sheetName val="FY_22_23"/>
      <sheetName val="FY_23_24"/>
      <sheetName val="FY_24_25"/>
      <sheetName val="Table_for_Petition"/>
      <sheetName val="Instruction_Sheet"/>
      <sheetName val="dpc_cost"/>
      <sheetName val="Survey_Status_2"/>
      <sheetName val="Latest_revised_Cost_Estimates_f"/>
      <sheetName val="Form_6"/>
      <sheetName val="220Kv_(2)"/>
      <sheetName val="QOSWS_"/>
      <sheetName val="%_of_Elect"/>
      <sheetName val="cap_all"/>
      <sheetName val="Lead_Statement"/>
      <sheetName val="Detailed_Estimate"/>
      <sheetName val="Labour_charges"/>
    </sheetNames>
    <sheetDataSet>
      <sheetData sheetId="0">
        <row r="38">
          <cell r="A38" t="str">
            <v xml:space="preserve">ESTIMATE FOR INSTALLATION OF ADDITIONAL 1X40MVA 132/33KV TRANSFORMER AT EXISTING EHV SUBSTATION </v>
          </cell>
        </row>
      </sheetData>
      <sheetData sheetId="1">
        <row r="38">
          <cell r="A38" t="str">
            <v xml:space="preserve">ESTIMATE FOR INSTALLATION OF ADDITIONAL 1X40MVA 132/33KV TRANSFORMER AT EXISTING EHV SUBSTATION </v>
          </cell>
        </row>
      </sheetData>
      <sheetData sheetId="2">
        <row r="38">
          <cell r="A38" t="str">
            <v xml:space="preserve">ESTIMATE FOR INSTALLATION OF ADDITIONAL 1X40MVA 132/33KV TRANSFORMER AT EXISTING EHV SUBSTATION </v>
          </cell>
        </row>
      </sheetData>
      <sheetData sheetId="3">
        <row r="38">
          <cell r="A38" t="str">
            <v xml:space="preserve">ESTIMATE FOR INSTALLATION OF ADDITIONAL 1X40MVA 132/33KV TRANSFORMER AT EXISTING EHV SUBSTATION </v>
          </cell>
        </row>
      </sheetData>
      <sheetData sheetId="4">
        <row r="38">
          <cell r="A38" t="str">
            <v xml:space="preserve">ESTIMATE FOR INSTALLATION OF ADDITIONAL 1X40MVA 132/33KV TRANSFORMER AT EXISTING EHV SUBSTATION </v>
          </cell>
        </row>
      </sheetData>
      <sheetData sheetId="5"/>
      <sheetData sheetId="6"/>
      <sheetData sheetId="7"/>
      <sheetData sheetId="8"/>
      <sheetData sheetId="9"/>
      <sheetData sheetId="10"/>
      <sheetData sheetId="11"/>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t="str">
            <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t="str">
            <v/>
          </cell>
        </row>
        <row r="173">
          <cell r="I173">
            <v>0</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t="str">
            <v/>
          </cell>
        </row>
        <row r="186">
          <cell r="I186">
            <v>0</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t="str">
            <v/>
          </cell>
        </row>
        <row r="198">
          <cell r="A198" t="str">
            <v/>
          </cell>
          <cell r="B198" t="str">
            <v xml:space="preserve">Foundation work of </v>
          </cell>
          <cell r="C198">
            <v>0</v>
          </cell>
          <cell r="D198">
            <v>0</v>
          </cell>
          <cell r="E198">
            <v>0</v>
          </cell>
          <cell r="F198">
            <v>0</v>
          </cell>
          <cell r="G198">
            <v>0</v>
          </cell>
          <cell r="H198">
            <v>0</v>
          </cell>
          <cell r="I198" t="str">
            <v/>
          </cell>
        </row>
        <row r="199">
          <cell r="I199">
            <v>0</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t="str">
            <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2">
          <cell r="A282">
            <v>38</v>
          </cell>
          <cell r="B282" t="str">
            <v>Testing &amp; Commissioning &amp; misc.expenditure</v>
          </cell>
          <cell r="C282" t="str">
            <v>LS</v>
          </cell>
          <cell r="D282">
            <v>0</v>
          </cell>
          <cell r="E282">
            <v>0</v>
          </cell>
          <cell r="F282">
            <v>0.1</v>
          </cell>
          <cell r="G282">
            <v>0.1</v>
          </cell>
          <cell r="H282" t="str">
            <v>LS</v>
          </cell>
          <cell r="I282">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row r="38">
          <cell r="A38" t="str">
            <v xml:space="preserve">ESTIMATE FOR INSTALLATION OF ADDITIONAL 1X40MVA 132/33KV TRANSFORMER AT EXISTING EHV SUBSTATION </v>
          </cell>
        </row>
      </sheetData>
      <sheetData sheetId="14">
        <row r="38">
          <cell r="A38" t="str">
            <v xml:space="preserve">ESTIMATE FOR INSTALLATION OF ADDITIONAL 1X40MVA 132/33KV TRANSFORMER AT EXISTING EHV SUBSTATION </v>
          </cell>
        </row>
      </sheetData>
      <sheetData sheetId="15">
        <row r="38">
          <cell r="A38" t="str">
            <v xml:space="preserve">ESTIMATE FOR INSTALLATION OF ADDITIONAL 1X40MVA 132/33KV TRANSFORMER AT EXISTING EHV SUBSTATION </v>
          </cell>
        </row>
      </sheetData>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38">
          <cell r="A38">
            <v>0</v>
          </cell>
        </row>
      </sheetData>
      <sheetData sheetId="35">
        <row r="38">
          <cell r="A38" t="str">
            <v xml:space="preserve">ESTIMATE FOR INSTALLATION OF ADDITIONAL 1X40MVA 132/33KV TRANSFORMER AT EXISTING EHV SUBSTATION </v>
          </cell>
        </row>
      </sheetData>
      <sheetData sheetId="36">
        <row r="38">
          <cell r="A38" t="str">
            <v xml:space="preserve">ESTIMATE FOR INSTALLATION OF ADDITIONAL 1X40MVA 132/33KV TRANSFORMER AT EXISTING EHV SUBSTATION </v>
          </cell>
        </row>
      </sheetData>
      <sheetData sheetId="37">
        <row r="38">
          <cell r="A38" t="str">
            <v xml:space="preserve">ESTIMATE FOR INSTALLATION OF ADDITIONAL 1X40MVA 132/33KV TRANSFORMER AT EXISTING EHV SUBSTATION </v>
          </cell>
        </row>
      </sheetData>
      <sheetData sheetId="38">
        <row r="38">
          <cell r="A38" t="str">
            <v xml:space="preserve">ESTIMATE FOR INSTALLATION OF ADDITIONAL 1X40MVA 132/33KV TRANSFORMER AT EXISTING EHV SUBSTATION </v>
          </cell>
        </row>
      </sheetData>
      <sheetData sheetId="39">
        <row r="38">
          <cell r="A38" t="str">
            <v xml:space="preserve">ESTIMATE FOR INSTALLATION OF ADDITIONAL 1X40MVA 132/33KV TRANSFORMER AT EXISTING EHV SUBSTATION </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38">
          <cell r="A38" t="str">
            <v xml:space="preserve">ESTIMATE FOR INSTALLATION OF ADDITIONAL 1X40MVA 132/33KV TRANSFORMER AT EXISTING EHV SUBSTATION </v>
          </cell>
        </row>
      </sheetData>
      <sheetData sheetId="59">
        <row r="38">
          <cell r="A38" t="str">
            <v xml:space="preserve">ESTIMATE FOR INSTALLATION OF ADDITIONAL 1X40MVA 132/33KV TRANSFORMER AT EXISTING EHV SUBSTATION </v>
          </cell>
        </row>
      </sheetData>
      <sheetData sheetId="60">
        <row r="38">
          <cell r="A38" t="str">
            <v xml:space="preserve">ESTIMATE FOR INSTALLATION OF ADDITIONAL 1X40MVA 132/33KV TRANSFORMER AT EXISTING EHV SUBSTATION </v>
          </cell>
        </row>
      </sheetData>
      <sheetData sheetId="61">
        <row r="38">
          <cell r="A38" t="str">
            <v xml:space="preserve">ESTIMATE FOR INSTALLATION OF ADDITIONAL 1X40MVA 132/33KV TRANSFORMER AT EXISTING EHV SUBSTATION </v>
          </cell>
        </row>
      </sheetData>
      <sheetData sheetId="62">
        <row r="38">
          <cell r="A38" t="str">
            <v xml:space="preserve">ESTIMATE FOR INSTALLATION OF ADDITIONAL 1X40MVA 132/33KV TRANSFORMER AT EXISTING EHV SUBSTATION </v>
          </cell>
        </row>
      </sheetData>
      <sheetData sheetId="63">
        <row r="38">
          <cell r="A38" t="str">
            <v xml:space="preserve">ESTIMATE FOR INSTALLATION OF ADDITIONAL 1X40MVA 132/33KV TRANSFORMER AT EXISTING EHV SUBSTATION </v>
          </cell>
        </row>
      </sheetData>
      <sheetData sheetId="64">
        <row r="38">
          <cell r="A38" t="str">
            <v xml:space="preserve">ESTIMATE FOR INSTALLATION OF ADDITIONAL 1X40MVA 132/33KV TRANSFORMER AT EXISTING EHV SUBSTATION </v>
          </cell>
        </row>
      </sheetData>
      <sheetData sheetId="65" refreshError="1"/>
      <sheetData sheetId="66" refreshError="1"/>
      <sheetData sheetId="67">
        <row r="38">
          <cell r="A38" t="str">
            <v xml:space="preserve">ESTIMATE FOR INSTALLATION OF ADDITIONAL 1X40MVA 132/33KV TRANSFORMER AT EXISTING EHV SUBSTATION </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ow r="38">
          <cell r="A38">
            <v>0</v>
          </cell>
        </row>
      </sheetData>
      <sheetData sheetId="79">
        <row r="38">
          <cell r="A38" t="str">
            <v xml:space="preserve">ESTIMATE FOR INSTALLATION OF ADDITIONAL 1X40MVA 132/33KV TRANSFORMER AT EXISTING EHV SUBSTATION </v>
          </cell>
        </row>
      </sheetData>
      <sheetData sheetId="80">
        <row r="38">
          <cell r="A38" t="str">
            <v xml:space="preserve">ESTIMATE FOR INSTALLATION OF ADDITIONAL 1X40MVA 132/33KV TRANSFORMER AT EXISTING EHV SUBSTATION </v>
          </cell>
        </row>
      </sheetData>
      <sheetData sheetId="81">
        <row r="38">
          <cell r="A38" t="str">
            <v xml:space="preserve">ESTIMATE FOR INSTALLATION OF ADDITIONAL 1X40MVA 132/33KV TRANSFORMER AT EXISTING EHV SUBSTATION </v>
          </cell>
        </row>
      </sheetData>
      <sheetData sheetId="82">
        <row r="38">
          <cell r="A38" t="str">
            <v xml:space="preserve">ESTIMATE FOR INSTALLATION OF ADDITIONAL 1X40MVA 132/33KV TRANSFORMER AT EXISTING EHV SUBSTATION </v>
          </cell>
        </row>
      </sheetData>
      <sheetData sheetId="83">
        <row r="38">
          <cell r="A38" t="str">
            <v xml:space="preserve">ESTIMATE FOR INSTALLATION OF ADDITIONAL 1X40MVA 132/33KV TRANSFORMER AT EXISTING EHV SUBSTATION </v>
          </cell>
        </row>
      </sheetData>
      <sheetData sheetId="84">
        <row r="38">
          <cell r="A38" t="str">
            <v xml:space="preserve">ESTIMATE FOR INSTALLATION OF ADDITIONAL 1X40MVA 132/33KV TRANSFORMER AT EXISTING EHV SUBSTATION </v>
          </cell>
        </row>
      </sheetData>
      <sheetData sheetId="85">
        <row r="38">
          <cell r="A38" t="str">
            <v xml:space="preserve">ESTIMATE FOR INSTALLATION OF ADDITIONAL 1X40MVA 132/33KV TRANSFORMER AT EXISTING EHV SUBSTATION </v>
          </cell>
        </row>
      </sheetData>
      <sheetData sheetId="86">
        <row r="38">
          <cell r="A38" t="str">
            <v xml:space="preserve">ESTIMATE FOR INSTALLATION OF ADDITIONAL 1X40MVA 132/33KV TRANSFORMER AT EXISTING EHV SUBSTATION </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t="str">
            <v xml:space="preserve">ESTIMATE FOR INSTALLATION OF ADDITIONAL 1X40MVA 132/33KV TRANSFORMER AT EXISTING EHV SUBSTATION </v>
          </cell>
        </row>
      </sheetData>
      <sheetData sheetId="91">
        <row r="38">
          <cell r="A38" t="str">
            <v xml:space="preserve">ESTIMATE FOR INSTALLATION OF ADDITIONAL 1X40MVA 132/33KV TRANSFORMER AT EXISTING EHV SUBSTATION </v>
          </cell>
        </row>
      </sheetData>
      <sheetData sheetId="92">
        <row r="38">
          <cell r="A38" t="str">
            <v xml:space="preserve">ESTIMATE FOR INSTALLATION OF ADDITIONAL 1X40MVA 132/33KV TRANSFORMER AT EXISTING EHV SUBSTATION </v>
          </cell>
        </row>
      </sheetData>
      <sheetData sheetId="93">
        <row r="38">
          <cell r="A38" t="str">
            <v xml:space="preserve">ESTIMATE FOR INSTALLATION OF ADDITIONAL 1X40MVA 132/33KV TRANSFORMER AT EXISTING EHV SUBSTATION </v>
          </cell>
        </row>
      </sheetData>
      <sheetData sheetId="94">
        <row r="38">
          <cell r="A38" t="str">
            <v xml:space="preserve">ESTIMATE FOR INSTALLATION OF ADDITIONAL 1X40MVA 132/33KV TRANSFORMER AT EXISTING EHV SUBSTATION </v>
          </cell>
        </row>
      </sheetData>
      <sheetData sheetId="95">
        <row r="38">
          <cell r="A38">
            <v>0</v>
          </cell>
        </row>
      </sheetData>
      <sheetData sheetId="96">
        <row r="38">
          <cell r="A38" t="str">
            <v xml:space="preserve">ESTIMATE FOR INSTALLATION OF ADDITIONAL 1X40MVA 132/33KV TRANSFORMER AT EXISTING EHV SUBSTATION </v>
          </cell>
        </row>
      </sheetData>
      <sheetData sheetId="97">
        <row r="38">
          <cell r="A38" t="str">
            <v xml:space="preserve">ESTIMATE FOR INSTALLATION OF ADDITIONAL 1X40MVA 132/33KV TRANSFORMER AT EXISTING EHV SUBSTATION </v>
          </cell>
        </row>
      </sheetData>
      <sheetData sheetId="98">
        <row r="38">
          <cell r="A38" t="str">
            <v xml:space="preserve">ESTIMATE FOR INSTALLATION OF ADDITIONAL 1X40MVA 132/33KV TRANSFORMER AT EXISTING EHV SUBSTATION </v>
          </cell>
        </row>
      </sheetData>
      <sheetData sheetId="99">
        <row r="38">
          <cell r="A38" t="str">
            <v xml:space="preserve">ESTIMATE FOR INSTALLATION OF ADDITIONAL 1X40MVA 132/33KV TRANSFORMER AT EXISTING EHV SUBSTATION </v>
          </cell>
        </row>
      </sheetData>
      <sheetData sheetId="100">
        <row r="38">
          <cell r="A38">
            <v>0</v>
          </cell>
        </row>
      </sheetData>
      <sheetData sheetId="101">
        <row r="38">
          <cell r="A38" t="str">
            <v xml:space="preserve">ESTIMATE FOR INSTALLATION OF ADDITIONAL 1X40MVA 132/33KV TRANSFORMER AT EXISTING EHV SUBSTATION </v>
          </cell>
        </row>
      </sheetData>
      <sheetData sheetId="102">
        <row r="38">
          <cell r="A38" t="str">
            <v xml:space="preserve">ESTIMATE FOR INSTALLATION OF ADDITIONAL 1X40MVA 132/33KV TRANSFORMER AT EXISTING EHV SUBSTATION </v>
          </cell>
        </row>
      </sheetData>
      <sheetData sheetId="103">
        <row r="38">
          <cell r="A38" t="str">
            <v xml:space="preserve">ESTIMATE FOR INSTALLATION OF ADDITIONAL 1X40MVA 132/33KV TRANSFORMER AT EXISTING EHV SUBSTATION </v>
          </cell>
        </row>
      </sheetData>
      <sheetData sheetId="104">
        <row r="38">
          <cell r="A38" t="str">
            <v xml:space="preserve">ESTIMATE FOR INSTALLATION OF ADDITIONAL 1X40MVA 132/33KV TRANSFORMER AT EXISTING EHV SUBSTATION </v>
          </cell>
        </row>
      </sheetData>
      <sheetData sheetId="105">
        <row r="38">
          <cell r="A38" t="str">
            <v xml:space="preserve">ESTIMATE FOR INSTALLATION OF ADDITIONAL 1X40MVA 132/33KV TRANSFORMER AT EXISTING EHV SUBSTATION </v>
          </cell>
        </row>
      </sheetData>
      <sheetData sheetId="106">
        <row r="38">
          <cell r="A38" t="str">
            <v xml:space="preserve">ESTIMATE FOR INSTALLATION OF ADDITIONAL 1X40MVA 132/33KV TRANSFORMER AT EXISTING EHV SUBSTATION </v>
          </cell>
        </row>
      </sheetData>
      <sheetData sheetId="107">
        <row r="38">
          <cell r="A38" t="str">
            <v xml:space="preserve">ESTIMATE FOR INSTALLATION OF ADDITIONAL 1X40MVA 132/33KV TRANSFORMER AT EXISTING EHV SUBSTATION </v>
          </cell>
        </row>
      </sheetData>
      <sheetData sheetId="108">
        <row r="38">
          <cell r="A38" t="str">
            <v xml:space="preserve">ESTIMATE FOR INSTALLATION OF ADDITIONAL 1X40MVA 132/33KV TRANSFORMER AT EXISTING EHV SUBSTATION </v>
          </cell>
        </row>
      </sheetData>
      <sheetData sheetId="109">
        <row r="38">
          <cell r="A38" t="str">
            <v xml:space="preserve">ESTIMATE FOR INSTALLATION OF ADDITIONAL 1X40MVA 132/33KV TRANSFORMER AT EXISTING EHV SUBSTATION </v>
          </cell>
        </row>
      </sheetData>
      <sheetData sheetId="110">
        <row r="38">
          <cell r="A38">
            <v>0</v>
          </cell>
        </row>
      </sheetData>
      <sheetData sheetId="111">
        <row r="38">
          <cell r="A38" t="str">
            <v xml:space="preserve">ESTIMATE FOR INSTALLATION OF ADDITIONAL 1X40MVA 132/33KV TRANSFORMER AT EXISTING EHV SUBSTATION </v>
          </cell>
        </row>
      </sheetData>
      <sheetData sheetId="112">
        <row r="38">
          <cell r="A38" t="str">
            <v xml:space="preserve">ESTIMATE FOR INSTALLATION OF ADDITIONAL 1X40MVA 132/33KV TRANSFORMER AT EXISTING EHV SUBSTATION </v>
          </cell>
        </row>
      </sheetData>
      <sheetData sheetId="113">
        <row r="38">
          <cell r="A38" t="str">
            <v xml:space="preserve">ESTIMATE FOR INSTALLATION OF ADDITIONAL 1X40MVA 132/33KV TRANSFORMER AT EXISTING EHV SUBSTATION </v>
          </cell>
        </row>
      </sheetData>
      <sheetData sheetId="114">
        <row r="38">
          <cell r="A38" t="str">
            <v xml:space="preserve">ESTIMATE FOR INSTALLATION OF ADDITIONAL 1X40MVA 132/33KV TRANSFORMER AT EXISTING EHV SUBSTATION </v>
          </cell>
        </row>
      </sheetData>
      <sheetData sheetId="115">
        <row r="38">
          <cell r="A38" t="str">
            <v xml:space="preserve">ESTIMATE FOR INSTALLATION OF ADDITIONAL 1X40MVA 132/33KV TRANSFORMER AT EXISTING EHV SUBSTATION </v>
          </cell>
        </row>
      </sheetData>
      <sheetData sheetId="116">
        <row r="38">
          <cell r="A38" t="str">
            <v xml:space="preserve">ESTIMATE FOR INSTALLATION OF ADDITIONAL 1X40MVA 132/33KV TRANSFORMER AT EXISTING EHV SUBSTATION </v>
          </cell>
        </row>
      </sheetData>
      <sheetData sheetId="117"/>
      <sheetData sheetId="118">
        <row r="38">
          <cell r="A38" t="str">
            <v xml:space="preserve">ESTIMATE FOR INSTALLATION OF ADDITIONAL 1X40MVA 132/33KV TRANSFORMER AT EXISTING EHV SUBSTATION </v>
          </cell>
        </row>
      </sheetData>
      <sheetData sheetId="119">
        <row r="38">
          <cell r="A38" t="str">
            <v xml:space="preserve">ESTIMATE FOR INSTALLATION OF ADDITIONAL 1X40MVA 132/33KV TRANSFORMER AT EXISTING EHV SUBSTATION </v>
          </cell>
        </row>
      </sheetData>
      <sheetData sheetId="120"/>
      <sheetData sheetId="121">
        <row r="38">
          <cell r="A38" t="str">
            <v xml:space="preserve">ESTIMATE FOR INSTALLATION OF ADDITIONAL 1X40MVA 132/33KV TRANSFORMER AT EXISTING EHV SUBSTATION </v>
          </cell>
        </row>
      </sheetData>
      <sheetData sheetId="122">
        <row r="38">
          <cell r="A38" t="str">
            <v xml:space="preserve">ESTIMATE FOR INSTALLATION OF ADDITIONAL 1X40MVA 132/33KV TRANSFORMER AT EXISTING EHV SUBSTATION </v>
          </cell>
        </row>
      </sheetData>
      <sheetData sheetId="123">
        <row r="38">
          <cell r="A38" t="str">
            <v xml:space="preserve">ESTIMATE FOR INSTALLATION OF ADDITIONAL 1X40MVA 132/33KV TRANSFORMER AT EXISTING EHV SUBSTATION </v>
          </cell>
        </row>
      </sheetData>
      <sheetData sheetId="124">
        <row r="38">
          <cell r="A38" t="str">
            <v xml:space="preserve">ESTIMATE FOR INSTALLATION OF ADDITIONAL 1X40MVA 132/33KV TRANSFORMER AT EXISTING EHV SUBSTATION </v>
          </cell>
        </row>
      </sheetData>
      <sheetData sheetId="125">
        <row r="38">
          <cell r="A38" t="str">
            <v xml:space="preserve">ESTIMATE FOR INSTALLATION OF ADDITIONAL 1X40MVA 132/33KV TRANSFORMER AT EXISTING EHV SUBSTATION </v>
          </cell>
        </row>
      </sheetData>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38">
          <cell r="A38" t="str">
            <v xml:space="preserve">ESTIMATE FOR INSTALLATION OF ADDITIONAL 1X40MVA 132/33KV TRANSFORMER AT EXISTING EHV SUBSTATION </v>
          </cell>
        </row>
      </sheetData>
      <sheetData sheetId="163">
        <row r="38">
          <cell r="A38" t="str">
            <v xml:space="preserve">ESTIMATE FOR INSTALLATION OF ADDITIONAL 1X40MVA 132/33KV TRANSFORMER AT EXISTING EHV SUBSTATION </v>
          </cell>
        </row>
      </sheetData>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_PwC"/>
      <sheetName val="Assumptions"/>
      <sheetName val="Gainloss computation FY 09-10"/>
      <sheetName val="Summary"/>
      <sheetName val="Issue sheet"/>
      <sheetName val="Tables_True up FY 09-10"/>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 val="Masters"/>
    </sheetNames>
    <sheetDataSet>
      <sheetData sheetId="0">
        <row r="7">
          <cell r="D7">
            <v>0.1074</v>
          </cell>
          <cell r="E7">
            <v>0.1055</v>
          </cell>
        </row>
        <row r="8">
          <cell r="D8">
            <v>8.1799999999999998E-2</v>
          </cell>
        </row>
        <row r="116">
          <cell r="C116">
            <v>0.11749999999999999</v>
          </cell>
        </row>
      </sheetData>
      <sheetData sheetId="1">
        <row r="3">
          <cell r="B3">
            <v>7.8600000000000003E-2</v>
          </cell>
        </row>
        <row r="16">
          <cell r="B16">
            <v>0.13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V30">
            <v>27.489999999999995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ow r="30">
          <cell r="V30">
            <v>27.489999999999995</v>
          </cell>
        </row>
      </sheetData>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1997-1998"/>
      <sheetName val="1998-1999"/>
      <sheetName val="1999-2000"/>
      <sheetName val="2000-01"/>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 val="Since_Comm,"/>
      <sheetName val="History_Data"/>
      <sheetName val="Gen_Data_87-97"/>
      <sheetName val="C_F_,_C_V__&amp;_H_R_"/>
      <sheetName val="Gen_,_Coal_Factor,_Hea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3">
          <cell r="B3">
            <v>7.8600000000000003E-2</v>
          </cell>
        </row>
        <row r="6">
          <cell r="B6">
            <v>0.06</v>
          </cell>
        </row>
        <row r="7">
          <cell r="B7">
            <v>0.06</v>
          </cell>
        </row>
        <row r="8">
          <cell r="B8">
            <v>0.06</v>
          </cell>
        </row>
        <row r="9">
          <cell r="B9">
            <v>0.06</v>
          </cell>
        </row>
        <row r="10">
          <cell r="B10">
            <v>0.05</v>
          </cell>
        </row>
        <row r="11">
          <cell r="B11">
            <v>0.12</v>
          </cell>
        </row>
        <row r="12">
          <cell r="B12">
            <v>0.12</v>
          </cell>
        </row>
        <row r="13">
          <cell r="B13">
            <v>1</v>
          </cell>
        </row>
        <row r="16">
          <cell r="B16">
            <v>0.13</v>
          </cell>
        </row>
        <row r="17">
          <cell r="B17">
            <v>0.13</v>
          </cell>
        </row>
        <row r="18">
          <cell r="B18">
            <v>0.13</v>
          </cell>
        </row>
        <row r="20">
          <cell r="B20">
            <v>0.1993</v>
          </cell>
        </row>
        <row r="22">
          <cell r="B22">
            <v>70.004999999999995</v>
          </cell>
        </row>
        <row r="23">
          <cell r="B23">
            <v>358.87740000000002</v>
          </cell>
        </row>
        <row r="25">
          <cell r="B25">
            <v>2E-3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Discom Details"/>
      <sheetName val="A 3.7"/>
      <sheetName val="C.S.GENERATION"/>
      <sheetName val="Sch-3"/>
      <sheetName val="Assumptions"/>
      <sheetName val="04rel"/>
      <sheetName val="all"/>
      <sheetName val="RAJ"/>
      <sheetName val="Cash Flow"/>
      <sheetName val="HLY_-99-002"/>
      <sheetName val="Hydro_Data2"/>
      <sheetName val="dpc_cost2"/>
      <sheetName val="Plant_Availability2"/>
      <sheetName val="HLY_-99-001"/>
      <sheetName val="Hydro_Data1"/>
      <sheetName val="dpc_cost1"/>
      <sheetName val="Plant_Availability1"/>
      <sheetName val="HLY_-99-003"/>
      <sheetName val="Hydro_Data3"/>
      <sheetName val="dpc_cost3"/>
      <sheetName val="Plant_Availability3"/>
      <sheetName val="Discom_Details"/>
      <sheetName val="A_3_7"/>
      <sheetName val="C_S_GENERATION"/>
      <sheetName val="Cash_Flow"/>
      <sheetName val="DCL AUG 12"/>
      <sheetName val="Index Feb 09"/>
      <sheetName val="Data base Feb 09"/>
      <sheetName val="General"/>
      <sheetName val="7.11 p1"/>
      <sheetName val="strain"/>
      <sheetName val="data"/>
      <sheetName val="HLY_-99-004"/>
      <sheetName val="Hydro_Data4"/>
      <sheetName val="dpc_cost4"/>
      <sheetName val="Plant_Availability4"/>
      <sheetName val="Discom_Details1"/>
      <sheetName val="A_3_71"/>
      <sheetName val="C_S_GENERATION1"/>
      <sheetName val="Cash_Flow1"/>
      <sheetName val="7_11_p1"/>
      <sheetName val="7_11_p11"/>
      <sheetName val="Discom_Details2"/>
      <sheetName val="A_3_72"/>
      <sheetName val="C_S_GENERATION2"/>
      <sheetName val="7_11_p12"/>
      <sheetName val="sep01"/>
      <sheetName val="Form-B"/>
      <sheetName val="4 Annex 1 Basic rate"/>
      <sheetName val="tb2002 linked"/>
      <sheetName val="sum"/>
      <sheetName val="DPT-PW"/>
      <sheetName val="Factor_sheet"/>
      <sheetName val="SCF"/>
      <sheetName val="Report"/>
      <sheetName val="Energy_bal"/>
      <sheetName val="TRP"/>
      <sheetName val="Dom"/>
      <sheetName val="Inputs"/>
      <sheetName val="Feb-06"/>
      <sheetName val="17(B) govt"/>
      <sheetName val="Dispatch 2.0"/>
      <sheetName val="DETAILED  BOQ"/>
      <sheetName val="NOPAT_VDF"/>
      <sheetName val="Invested capital_VDF"/>
      <sheetName val="Conductor Size"/>
      <sheetName val="Addl.40"/>
      <sheetName val="DETAILED__BOQ"/>
      <sheetName val="DCL_AUG_12"/>
      <sheetName val="Index_Feb_09"/>
      <sheetName val="Data_base_Feb_09"/>
      <sheetName val="Dispatch_2_0"/>
      <sheetName val="Addl_40"/>
      <sheetName val="Sheet2"/>
      <sheetName val="FT-05-02IsoBOM"/>
      <sheetName val="1"/>
      <sheetName val="Code"/>
      <sheetName val="Design"/>
      <sheetName val="Coalmine"/>
      <sheetName val="Staff Acco."/>
      <sheetName val="BLR 1"/>
      <sheetName val="GEN"/>
      <sheetName val="GAS"/>
      <sheetName val="DEAE"/>
      <sheetName val="BLR2"/>
      <sheetName val="BLR3"/>
      <sheetName val="BLR4"/>
      <sheetName val="BLR5"/>
      <sheetName val="DEM"/>
      <sheetName val="SAM"/>
      <sheetName val="CHEM"/>
      <sheetName val="COP"/>
      <sheetName val="CFL-KIM"/>
      <sheetName val="XLR_NoRangeSheet"/>
      <sheetName val="B&amp;CM LIST"/>
      <sheetName val="Licensee Information"/>
      <sheetName val="deduction"/>
      <sheetName val="addition"/>
      <sheetName val="HLY_-99-005"/>
      <sheetName val="Hydro_Data5"/>
      <sheetName val="dpc_cost5"/>
      <sheetName val="Plant_Availability5"/>
      <sheetName val="Discom_Details3"/>
      <sheetName val="A_3_73"/>
      <sheetName val="C_S_GENERATION3"/>
      <sheetName val="Cash_Flow2"/>
      <sheetName val="DCL_AUG_121"/>
      <sheetName val="Index_Feb_091"/>
      <sheetName val="Data_base_Feb_091"/>
      <sheetName val="7_11_p13"/>
      <sheetName val="tb2002_linked"/>
      <sheetName val="4_Annex_1_Basic_rate"/>
      <sheetName val="17(B)_govt"/>
      <sheetName val="Dispatch_2_01"/>
      <sheetName val="DETAILED__BOQ1"/>
      <sheetName val="Invested_capital_VDF"/>
      <sheetName val="Licensee_Information"/>
      <sheetName val="Addl_401"/>
      <sheetName val="Conductor_Size"/>
      <sheetName val="Staff_Acco_"/>
      <sheetName val="BLR_1"/>
      <sheetName val="B&amp;CM_LIST"/>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D1">
            <v>0</v>
          </cell>
        </row>
      </sheetData>
      <sheetData sheetId="37">
        <row r="1">
          <cell r="D1">
            <v>0</v>
          </cell>
        </row>
      </sheetData>
      <sheetData sheetId="38">
        <row r="1">
          <cell r="D1">
            <v>0</v>
          </cell>
        </row>
      </sheetData>
      <sheetData sheetId="39" refreshError="1"/>
      <sheetData sheetId="40" refreshError="1"/>
      <sheetData sheetId="41" refreshError="1"/>
      <sheetData sheetId="42" refreshError="1"/>
      <sheetData sheetId="43" refreshError="1"/>
      <sheetData sheetId="44">
        <row r="1">
          <cell r="D1">
            <v>0</v>
          </cell>
        </row>
      </sheetData>
      <sheetData sheetId="45">
        <row r="1">
          <cell r="D1">
            <v>0</v>
          </cell>
        </row>
      </sheetData>
      <sheetData sheetId="46">
        <row r="1">
          <cell r="D1">
            <v>0</v>
          </cell>
        </row>
      </sheetData>
      <sheetData sheetId="47">
        <row r="1">
          <cell r="D1">
            <v>0</v>
          </cell>
        </row>
      </sheetData>
      <sheetData sheetId="48">
        <row r="1">
          <cell r="D1">
            <v>0</v>
          </cell>
        </row>
      </sheetData>
      <sheetData sheetId="49">
        <row r="1">
          <cell r="D1">
            <v>0</v>
          </cell>
        </row>
      </sheetData>
      <sheetData sheetId="50">
        <row r="1">
          <cell r="D1">
            <v>0</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
          <cell r="D1">
            <v>0</v>
          </cell>
        </row>
      </sheetData>
      <sheetData sheetId="61">
        <row r="1">
          <cell r="D1">
            <v>0</v>
          </cell>
        </row>
      </sheetData>
      <sheetData sheetId="62">
        <row r="1">
          <cell r="D1">
            <v>0</v>
          </cell>
        </row>
      </sheetData>
      <sheetData sheetId="63">
        <row r="1">
          <cell r="D1">
            <v>0</v>
          </cell>
        </row>
      </sheetData>
      <sheetData sheetId="64">
        <row r="1">
          <cell r="D1">
            <v>0</v>
          </cell>
        </row>
      </sheetData>
      <sheetData sheetId="65">
        <row r="1">
          <cell r="D1">
            <v>0</v>
          </cell>
        </row>
      </sheetData>
      <sheetData sheetId="66">
        <row r="1">
          <cell r="D1">
            <v>0</v>
          </cell>
        </row>
      </sheetData>
      <sheetData sheetId="67">
        <row r="1">
          <cell r="D1">
            <v>0</v>
          </cell>
        </row>
      </sheetData>
      <sheetData sheetId="68">
        <row r="1">
          <cell r="D1">
            <v>0</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1">
          <cell r="D1">
            <v>0</v>
          </cell>
        </row>
      </sheetData>
      <sheetData sheetId="93">
        <row r="1">
          <cell r="D1">
            <v>0</v>
          </cell>
        </row>
      </sheetData>
      <sheetData sheetId="94">
        <row r="1">
          <cell r="D1">
            <v>0</v>
          </cell>
        </row>
      </sheetData>
      <sheetData sheetId="95">
        <row r="1">
          <cell r="D1">
            <v>0</v>
          </cell>
        </row>
      </sheetData>
      <sheetData sheetId="96">
        <row r="1">
          <cell r="D1">
            <v>0</v>
          </cell>
        </row>
      </sheetData>
      <sheetData sheetId="97">
        <row r="1">
          <cell r="D1">
            <v>0</v>
          </cell>
        </row>
      </sheetData>
      <sheetData sheetId="98">
        <row r="1">
          <cell r="D1">
            <v>0</v>
          </cell>
        </row>
      </sheetData>
      <sheetData sheetId="99">
        <row r="1">
          <cell r="D1">
            <v>0</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_qty"/>
      <sheetName val="Nov_04"/>
      <sheetName val="Dec_04"/>
      <sheetName val="Assumptions"/>
      <sheetName val="dpc cost"/>
      <sheetName val="SUMMERY"/>
      <sheetName val="OCM3"/>
      <sheetName val="dpc_cost"/>
      <sheetName val="deduction"/>
      <sheetName val="addition"/>
      <sheetName val="sep01"/>
      <sheetName val="NP"/>
      <sheetName val="PP"/>
      <sheetName val="Water _balance_Dec04"/>
    </sheetNames>
    <sheetDataSet>
      <sheetData sheetId="0" refreshError="1">
        <row r="8">
          <cell r="B8">
            <v>195</v>
          </cell>
          <cell r="C8">
            <v>1</v>
          </cell>
        </row>
        <row r="9">
          <cell r="B9">
            <v>195.02500000000001</v>
          </cell>
          <cell r="C9">
            <v>1.05</v>
          </cell>
        </row>
        <row r="10">
          <cell r="B10">
            <v>195.05</v>
          </cell>
          <cell r="C10">
            <v>1.1000000000000001</v>
          </cell>
        </row>
        <row r="11">
          <cell r="B11">
            <v>195.07499999999999</v>
          </cell>
          <cell r="C11">
            <v>1.1499999999999999</v>
          </cell>
        </row>
        <row r="12">
          <cell r="B12">
            <v>195.1</v>
          </cell>
          <cell r="C12">
            <v>1.2</v>
          </cell>
        </row>
        <row r="13">
          <cell r="B13">
            <v>195.125</v>
          </cell>
          <cell r="C13">
            <v>1.25</v>
          </cell>
        </row>
        <row r="14">
          <cell r="B14">
            <v>195.15</v>
          </cell>
          <cell r="C14">
            <v>1.3</v>
          </cell>
        </row>
        <row r="15">
          <cell r="B15">
            <v>195.17500000000001</v>
          </cell>
          <cell r="C15">
            <v>1.35</v>
          </cell>
        </row>
        <row r="16">
          <cell r="B16">
            <v>195.2</v>
          </cell>
          <cell r="C16">
            <v>1.4</v>
          </cell>
        </row>
        <row r="17">
          <cell r="B17">
            <v>195.22499999999999</v>
          </cell>
          <cell r="C17">
            <v>1.45</v>
          </cell>
        </row>
        <row r="18">
          <cell r="B18">
            <v>195.25</v>
          </cell>
          <cell r="C18">
            <v>1.5</v>
          </cell>
        </row>
        <row r="19">
          <cell r="B19">
            <v>195.27500000000001</v>
          </cell>
          <cell r="C19">
            <v>1.55</v>
          </cell>
        </row>
        <row r="20">
          <cell r="B20">
            <v>195.3</v>
          </cell>
          <cell r="C20">
            <v>1.6</v>
          </cell>
        </row>
        <row r="21">
          <cell r="B21">
            <v>195.32499999999999</v>
          </cell>
          <cell r="C21">
            <v>1.65</v>
          </cell>
        </row>
        <row r="22">
          <cell r="B22">
            <v>195.35</v>
          </cell>
          <cell r="C22">
            <v>1.7</v>
          </cell>
        </row>
        <row r="23">
          <cell r="B23">
            <v>195.375</v>
          </cell>
          <cell r="C23">
            <v>1.75</v>
          </cell>
        </row>
        <row r="24">
          <cell r="B24">
            <v>195.4</v>
          </cell>
          <cell r="C24">
            <v>1.8</v>
          </cell>
        </row>
        <row r="25">
          <cell r="B25">
            <v>195.42500000000001</v>
          </cell>
          <cell r="C25">
            <v>1.85</v>
          </cell>
        </row>
        <row r="26">
          <cell r="B26">
            <v>195.45</v>
          </cell>
          <cell r="C26">
            <v>1.9</v>
          </cell>
        </row>
        <row r="27">
          <cell r="B27">
            <v>195.47499999999999</v>
          </cell>
          <cell r="C27">
            <v>1.95</v>
          </cell>
        </row>
        <row r="28">
          <cell r="B28">
            <v>195.5</v>
          </cell>
          <cell r="C28">
            <v>2</v>
          </cell>
        </row>
        <row r="29">
          <cell r="B29">
            <v>195.52500000000001</v>
          </cell>
          <cell r="C29">
            <v>2.0499999999999998</v>
          </cell>
        </row>
        <row r="30">
          <cell r="B30">
            <v>195.55</v>
          </cell>
          <cell r="C30">
            <v>2.1</v>
          </cell>
        </row>
        <row r="31">
          <cell r="B31">
            <v>195.57499999999999</v>
          </cell>
          <cell r="C31">
            <v>2.15</v>
          </cell>
        </row>
        <row r="32">
          <cell r="B32">
            <v>195.6</v>
          </cell>
          <cell r="C32">
            <v>2.2000000000000002</v>
          </cell>
        </row>
        <row r="33">
          <cell r="B33">
            <v>195.625</v>
          </cell>
          <cell r="C33">
            <v>2.25</v>
          </cell>
        </row>
        <row r="34">
          <cell r="B34">
            <v>195.65</v>
          </cell>
          <cell r="C34">
            <v>2.2999999999999998</v>
          </cell>
        </row>
        <row r="35">
          <cell r="B35">
            <v>195.67500000000001</v>
          </cell>
          <cell r="C35">
            <v>2.35</v>
          </cell>
        </row>
        <row r="36">
          <cell r="B36">
            <v>195.7</v>
          </cell>
          <cell r="C36">
            <v>2.4</v>
          </cell>
        </row>
        <row r="37">
          <cell r="B37">
            <v>195.72499999999999</v>
          </cell>
          <cell r="C37">
            <v>2.4500000000000002</v>
          </cell>
        </row>
        <row r="38">
          <cell r="B38">
            <v>195.75</v>
          </cell>
          <cell r="C38">
            <v>2.5</v>
          </cell>
        </row>
        <row r="39">
          <cell r="B39">
            <v>195.77500000000001</v>
          </cell>
          <cell r="C39">
            <v>2.5499999999999998</v>
          </cell>
        </row>
        <row r="40">
          <cell r="B40">
            <v>195.8</v>
          </cell>
          <cell r="C40">
            <v>2.6</v>
          </cell>
        </row>
        <row r="41">
          <cell r="B41">
            <v>195.82499999999999</v>
          </cell>
          <cell r="C41">
            <v>2.65</v>
          </cell>
        </row>
        <row r="42">
          <cell r="B42">
            <v>195.85</v>
          </cell>
          <cell r="C42">
            <v>2.7</v>
          </cell>
        </row>
        <row r="43">
          <cell r="B43">
            <v>195.875</v>
          </cell>
          <cell r="C43">
            <v>2.75</v>
          </cell>
        </row>
        <row r="44">
          <cell r="B44">
            <v>195.9</v>
          </cell>
          <cell r="C44">
            <v>2.8</v>
          </cell>
        </row>
        <row r="45">
          <cell r="B45">
            <v>195.92500000000001</v>
          </cell>
          <cell r="C45">
            <v>2.85</v>
          </cell>
        </row>
        <row r="46">
          <cell r="B46">
            <v>195.95</v>
          </cell>
          <cell r="C46">
            <v>2.9</v>
          </cell>
        </row>
        <row r="47">
          <cell r="B47">
            <v>195.97499999999999</v>
          </cell>
          <cell r="C47">
            <v>2.95</v>
          </cell>
        </row>
        <row r="48">
          <cell r="B48">
            <v>196</v>
          </cell>
          <cell r="C48">
            <v>3</v>
          </cell>
        </row>
        <row r="49">
          <cell r="B49">
            <v>196.02500000000001</v>
          </cell>
          <cell r="C49">
            <v>3.0750000000000002</v>
          </cell>
        </row>
        <row r="50">
          <cell r="B50">
            <v>196.05</v>
          </cell>
          <cell r="C50">
            <v>3.15</v>
          </cell>
        </row>
        <row r="51">
          <cell r="B51">
            <v>196.07499999999999</v>
          </cell>
          <cell r="C51">
            <v>3.2250000000000001</v>
          </cell>
        </row>
        <row r="52">
          <cell r="B52">
            <v>196.1</v>
          </cell>
          <cell r="C52">
            <v>3.3</v>
          </cell>
        </row>
        <row r="53">
          <cell r="B53">
            <v>196.125</v>
          </cell>
          <cell r="C53">
            <v>3.375</v>
          </cell>
        </row>
        <row r="54">
          <cell r="B54">
            <v>196.15</v>
          </cell>
          <cell r="C54">
            <v>3.45</v>
          </cell>
        </row>
        <row r="55">
          <cell r="B55">
            <v>196.17500000000001</v>
          </cell>
          <cell r="C55">
            <v>3.5249999999999999</v>
          </cell>
        </row>
        <row r="56">
          <cell r="B56">
            <v>196.2</v>
          </cell>
          <cell r="C56">
            <v>3.6</v>
          </cell>
        </row>
        <row r="57">
          <cell r="B57">
            <v>196.22499999999999</v>
          </cell>
          <cell r="C57">
            <v>3.6749999999999998</v>
          </cell>
        </row>
        <row r="58">
          <cell r="B58">
            <v>196.25</v>
          </cell>
          <cell r="C58">
            <v>3.75</v>
          </cell>
        </row>
        <row r="59">
          <cell r="B59">
            <v>196.27500000000001</v>
          </cell>
          <cell r="C59">
            <v>3.8250000000000002</v>
          </cell>
        </row>
        <row r="60">
          <cell r="B60">
            <v>196.3</v>
          </cell>
          <cell r="C60">
            <v>3.9</v>
          </cell>
        </row>
        <row r="61">
          <cell r="B61">
            <v>196.32499999999999</v>
          </cell>
          <cell r="C61">
            <v>3.9750000000000001</v>
          </cell>
        </row>
        <row r="62">
          <cell r="B62">
            <v>196.35</v>
          </cell>
          <cell r="C62">
            <v>4.05</v>
          </cell>
        </row>
        <row r="63">
          <cell r="B63">
            <v>196.375</v>
          </cell>
          <cell r="C63">
            <v>4.125</v>
          </cell>
        </row>
        <row r="64">
          <cell r="B64">
            <v>196.4</v>
          </cell>
          <cell r="C64">
            <v>4.2</v>
          </cell>
        </row>
        <row r="65">
          <cell r="B65">
            <v>196.42500000000001</v>
          </cell>
          <cell r="C65">
            <v>4.2750000000000004</v>
          </cell>
        </row>
        <row r="66">
          <cell r="B66">
            <v>196.45</v>
          </cell>
          <cell r="C66">
            <v>4.3499999999999996</v>
          </cell>
        </row>
        <row r="67">
          <cell r="B67">
            <v>196.47499999999999</v>
          </cell>
          <cell r="C67">
            <v>4.4249999999999998</v>
          </cell>
        </row>
        <row r="68">
          <cell r="B68">
            <v>196.5</v>
          </cell>
          <cell r="C68">
            <v>4.5</v>
          </cell>
        </row>
        <row r="69">
          <cell r="B69">
            <v>196.52500000000001</v>
          </cell>
          <cell r="C69">
            <v>4.5750000000000002</v>
          </cell>
        </row>
        <row r="70">
          <cell r="B70">
            <v>196.55</v>
          </cell>
          <cell r="C70">
            <v>4.6500000000000004</v>
          </cell>
        </row>
        <row r="71">
          <cell r="B71">
            <v>196.57499999999999</v>
          </cell>
          <cell r="C71">
            <v>4.7249999999999996</v>
          </cell>
        </row>
        <row r="72">
          <cell r="B72">
            <v>196.6</v>
          </cell>
          <cell r="C72">
            <v>4.8</v>
          </cell>
        </row>
        <row r="73">
          <cell r="B73">
            <v>196.625</v>
          </cell>
          <cell r="C73">
            <v>4.875</v>
          </cell>
        </row>
        <row r="74">
          <cell r="B74">
            <v>196.65</v>
          </cell>
          <cell r="C74">
            <v>4.95</v>
          </cell>
        </row>
        <row r="75">
          <cell r="B75">
            <v>196.67500000000001</v>
          </cell>
          <cell r="C75">
            <v>5.0250000000000004</v>
          </cell>
        </row>
        <row r="76">
          <cell r="B76">
            <v>196.7</v>
          </cell>
          <cell r="C76">
            <v>5.0999999999999996</v>
          </cell>
        </row>
        <row r="77">
          <cell r="B77">
            <v>196.72499999999999</v>
          </cell>
          <cell r="C77">
            <v>5.1749999999999998</v>
          </cell>
        </row>
        <row r="78">
          <cell r="B78">
            <v>196.75</v>
          </cell>
          <cell r="C78">
            <v>5.25</v>
          </cell>
        </row>
        <row r="79">
          <cell r="B79">
            <v>196.77500000000001</v>
          </cell>
          <cell r="C79">
            <v>5.3250000000000002</v>
          </cell>
        </row>
        <row r="80">
          <cell r="B80">
            <v>196.8</v>
          </cell>
          <cell r="C80">
            <v>5.4</v>
          </cell>
        </row>
        <row r="81">
          <cell r="B81">
            <v>196.82499999999999</v>
          </cell>
          <cell r="C81">
            <v>5.4749999999999996</v>
          </cell>
        </row>
        <row r="82">
          <cell r="B82">
            <v>196.85</v>
          </cell>
          <cell r="C82">
            <v>5.55</v>
          </cell>
        </row>
        <row r="83">
          <cell r="B83">
            <v>196.875</v>
          </cell>
          <cell r="C83">
            <v>5.625</v>
          </cell>
        </row>
        <row r="84">
          <cell r="B84">
            <v>196.9</v>
          </cell>
          <cell r="C84">
            <v>5.7</v>
          </cell>
        </row>
        <row r="85">
          <cell r="B85">
            <v>196.92500000000001</v>
          </cell>
          <cell r="C85">
            <v>5.7750000000000004</v>
          </cell>
        </row>
        <row r="86">
          <cell r="B86">
            <v>196.95</v>
          </cell>
          <cell r="C86">
            <v>5.85</v>
          </cell>
        </row>
        <row r="87">
          <cell r="B87">
            <v>196.97499999999999</v>
          </cell>
          <cell r="C87">
            <v>5.9249999999999998</v>
          </cell>
        </row>
        <row r="88">
          <cell r="B88">
            <v>197</v>
          </cell>
          <cell r="C88">
            <v>6</v>
          </cell>
        </row>
        <row r="89">
          <cell r="B89">
            <v>197.02500000000001</v>
          </cell>
          <cell r="C89">
            <v>6.125</v>
          </cell>
        </row>
        <row r="90">
          <cell r="B90">
            <v>197.05</v>
          </cell>
          <cell r="C90">
            <v>6.25</v>
          </cell>
        </row>
        <row r="91">
          <cell r="B91">
            <v>197.07499999999999</v>
          </cell>
          <cell r="C91">
            <v>6.375</v>
          </cell>
        </row>
        <row r="92">
          <cell r="B92">
            <v>197.1</v>
          </cell>
          <cell r="C92">
            <v>6.5</v>
          </cell>
        </row>
        <row r="93">
          <cell r="B93">
            <v>197.125</v>
          </cell>
          <cell r="C93">
            <v>6.625</v>
          </cell>
        </row>
        <row r="94">
          <cell r="B94">
            <v>197.15</v>
          </cell>
          <cell r="C94">
            <v>6.75</v>
          </cell>
        </row>
        <row r="95">
          <cell r="B95">
            <v>197.17500000000001</v>
          </cell>
          <cell r="C95">
            <v>6.875</v>
          </cell>
        </row>
        <row r="96">
          <cell r="B96">
            <v>197.2</v>
          </cell>
          <cell r="C96">
            <v>7</v>
          </cell>
        </row>
        <row r="97">
          <cell r="B97">
            <v>197.22499999999999</v>
          </cell>
          <cell r="C97">
            <v>7.125</v>
          </cell>
        </row>
        <row r="98">
          <cell r="B98">
            <v>197.25</v>
          </cell>
          <cell r="C98">
            <v>7.25</v>
          </cell>
        </row>
        <row r="99">
          <cell r="B99">
            <v>197.27500000000001</v>
          </cell>
          <cell r="C99">
            <v>7.375</v>
          </cell>
        </row>
        <row r="100">
          <cell r="B100">
            <v>197.3</v>
          </cell>
          <cell r="C100">
            <v>7.5</v>
          </cell>
        </row>
        <row r="101">
          <cell r="B101">
            <v>197.32499999999999</v>
          </cell>
          <cell r="C101">
            <v>7.625</v>
          </cell>
        </row>
        <row r="102">
          <cell r="B102">
            <v>197.35</v>
          </cell>
          <cell r="C102">
            <v>7.75</v>
          </cell>
        </row>
        <row r="103">
          <cell r="B103">
            <v>197.375</v>
          </cell>
          <cell r="C103">
            <v>7.875</v>
          </cell>
        </row>
        <row r="104">
          <cell r="B104">
            <v>197.4</v>
          </cell>
          <cell r="C104">
            <v>8</v>
          </cell>
        </row>
        <row r="105">
          <cell r="B105">
            <v>197.42500000000001</v>
          </cell>
          <cell r="C105">
            <v>8.125</v>
          </cell>
        </row>
        <row r="106">
          <cell r="B106">
            <v>197.45</v>
          </cell>
          <cell r="C106">
            <v>8.25</v>
          </cell>
        </row>
        <row r="107">
          <cell r="B107">
            <v>197.47499999999999</v>
          </cell>
          <cell r="C107">
            <v>8.375</v>
          </cell>
        </row>
        <row r="108">
          <cell r="B108">
            <v>197.5</v>
          </cell>
          <cell r="C108">
            <v>8.5</v>
          </cell>
        </row>
        <row r="109">
          <cell r="B109">
            <v>197.52500000000001</v>
          </cell>
          <cell r="C109">
            <v>8.625</v>
          </cell>
        </row>
        <row r="110">
          <cell r="B110">
            <v>197.55000000000049</v>
          </cell>
          <cell r="C110">
            <v>8.75</v>
          </cell>
        </row>
        <row r="111">
          <cell r="B111">
            <v>197.5750000000005</v>
          </cell>
          <cell r="C111">
            <v>8.875</v>
          </cell>
        </row>
        <row r="112">
          <cell r="B112">
            <v>197.6</v>
          </cell>
          <cell r="C112">
            <v>9</v>
          </cell>
        </row>
        <row r="113">
          <cell r="B113">
            <v>197.625</v>
          </cell>
          <cell r="C113">
            <v>9.125</v>
          </cell>
        </row>
        <row r="114">
          <cell r="B114">
            <v>197.65</v>
          </cell>
          <cell r="C114">
            <v>9.25</v>
          </cell>
        </row>
        <row r="115">
          <cell r="B115">
            <v>197.67500000000001</v>
          </cell>
          <cell r="C115">
            <v>9.375</v>
          </cell>
        </row>
        <row r="116">
          <cell r="B116">
            <v>197.7</v>
          </cell>
          <cell r="C116">
            <v>9.5</v>
          </cell>
        </row>
        <row r="117">
          <cell r="B117">
            <v>197.72499999999999</v>
          </cell>
          <cell r="C117">
            <v>9.625</v>
          </cell>
        </row>
        <row r="118">
          <cell r="B118">
            <v>197.75</v>
          </cell>
          <cell r="C118">
            <v>9.75</v>
          </cell>
        </row>
        <row r="119">
          <cell r="B119">
            <v>197.77500000000001</v>
          </cell>
          <cell r="C119">
            <v>9.875</v>
          </cell>
        </row>
        <row r="120">
          <cell r="B120">
            <v>197.8</v>
          </cell>
          <cell r="C120">
            <v>10</v>
          </cell>
        </row>
        <row r="121">
          <cell r="B121">
            <v>197.82499999999999</v>
          </cell>
          <cell r="C121">
            <v>10.125</v>
          </cell>
        </row>
        <row r="122">
          <cell r="B122">
            <v>197.85</v>
          </cell>
          <cell r="C122">
            <v>10.25</v>
          </cell>
        </row>
        <row r="123">
          <cell r="B123">
            <v>197.875</v>
          </cell>
          <cell r="C123">
            <v>10.375</v>
          </cell>
        </row>
        <row r="124">
          <cell r="B124">
            <v>197.9</v>
          </cell>
          <cell r="C124">
            <v>10.5</v>
          </cell>
        </row>
        <row r="125">
          <cell r="B125">
            <v>197.92500000000001</v>
          </cell>
          <cell r="C125">
            <v>10.625</v>
          </cell>
        </row>
        <row r="126">
          <cell r="B126">
            <v>197.95</v>
          </cell>
          <cell r="C126">
            <v>10.75</v>
          </cell>
        </row>
        <row r="127">
          <cell r="B127">
            <v>197.97499999999999</v>
          </cell>
          <cell r="C127">
            <v>10.875</v>
          </cell>
        </row>
        <row r="128">
          <cell r="B128">
            <v>198</v>
          </cell>
          <cell r="C128">
            <v>11</v>
          </cell>
        </row>
        <row r="129">
          <cell r="B129">
            <v>198.02500000000001</v>
          </cell>
          <cell r="C129">
            <v>11.15</v>
          </cell>
        </row>
        <row r="130">
          <cell r="B130">
            <v>198.05</v>
          </cell>
          <cell r="C130">
            <v>11.3</v>
          </cell>
        </row>
        <row r="131">
          <cell r="B131">
            <v>198.07499999999999</v>
          </cell>
          <cell r="C131">
            <v>11.45</v>
          </cell>
        </row>
        <row r="132">
          <cell r="B132">
            <v>198.1</v>
          </cell>
          <cell r="C132">
            <v>11.6</v>
          </cell>
        </row>
        <row r="133">
          <cell r="B133">
            <v>198.125</v>
          </cell>
          <cell r="C133">
            <v>11.75</v>
          </cell>
        </row>
        <row r="134">
          <cell r="B134">
            <v>198.15</v>
          </cell>
          <cell r="C134">
            <v>11.9</v>
          </cell>
        </row>
        <row r="135">
          <cell r="B135">
            <v>198.17500000000001</v>
          </cell>
          <cell r="C135">
            <v>12.05</v>
          </cell>
        </row>
        <row r="136">
          <cell r="B136">
            <v>198.2</v>
          </cell>
          <cell r="C136">
            <v>12.2</v>
          </cell>
        </row>
        <row r="137">
          <cell r="B137">
            <v>198.22499999999999</v>
          </cell>
          <cell r="C137">
            <v>12.35</v>
          </cell>
        </row>
        <row r="138">
          <cell r="B138">
            <v>198.25</v>
          </cell>
          <cell r="C138">
            <v>12.5</v>
          </cell>
        </row>
        <row r="139">
          <cell r="B139">
            <v>198.27500000000001</v>
          </cell>
          <cell r="C139">
            <v>12.65</v>
          </cell>
        </row>
        <row r="140">
          <cell r="B140">
            <v>198.3</v>
          </cell>
          <cell r="C140">
            <v>12.8</v>
          </cell>
        </row>
        <row r="141">
          <cell r="B141">
            <v>198.32499999999999</v>
          </cell>
          <cell r="C141">
            <v>12.95</v>
          </cell>
        </row>
        <row r="142">
          <cell r="B142">
            <v>198.35</v>
          </cell>
          <cell r="C142">
            <v>13.1</v>
          </cell>
        </row>
        <row r="143">
          <cell r="B143">
            <v>198.375</v>
          </cell>
          <cell r="C143">
            <v>13.25</v>
          </cell>
        </row>
        <row r="144">
          <cell r="B144">
            <v>198.4</v>
          </cell>
          <cell r="C144">
            <v>13.4</v>
          </cell>
        </row>
        <row r="145">
          <cell r="B145">
            <v>198.42500000000001</v>
          </cell>
          <cell r="C145">
            <v>13.55</v>
          </cell>
        </row>
        <row r="146">
          <cell r="B146">
            <v>198.45</v>
          </cell>
          <cell r="C146">
            <v>13.7</v>
          </cell>
        </row>
        <row r="147">
          <cell r="B147">
            <v>198.47499999999999</v>
          </cell>
          <cell r="C147">
            <v>13.85</v>
          </cell>
        </row>
        <row r="148">
          <cell r="B148">
            <v>198.5</v>
          </cell>
          <cell r="C148">
            <v>14</v>
          </cell>
        </row>
        <row r="149">
          <cell r="B149">
            <v>198.52500000000001</v>
          </cell>
          <cell r="C149">
            <v>14.2</v>
          </cell>
        </row>
        <row r="150">
          <cell r="B150">
            <v>198.55</v>
          </cell>
          <cell r="C150">
            <v>14.4</v>
          </cell>
        </row>
        <row r="151">
          <cell r="B151">
            <v>198.57499999999999</v>
          </cell>
          <cell r="C151">
            <v>14.6</v>
          </cell>
        </row>
        <row r="152">
          <cell r="B152">
            <v>198.6</v>
          </cell>
          <cell r="C152">
            <v>14.8</v>
          </cell>
        </row>
        <row r="153">
          <cell r="B153">
            <v>198.625</v>
          </cell>
          <cell r="C153">
            <v>15</v>
          </cell>
        </row>
        <row r="154">
          <cell r="B154">
            <v>198.65</v>
          </cell>
          <cell r="C154">
            <v>15.2</v>
          </cell>
        </row>
        <row r="155">
          <cell r="B155">
            <v>198.67500000000001</v>
          </cell>
          <cell r="C155">
            <v>15.4</v>
          </cell>
        </row>
        <row r="156">
          <cell r="B156">
            <v>198.7</v>
          </cell>
          <cell r="C156">
            <v>15.6</v>
          </cell>
        </row>
        <row r="157">
          <cell r="B157">
            <v>198.72499999999999</v>
          </cell>
          <cell r="C157">
            <v>15.8</v>
          </cell>
        </row>
        <row r="158">
          <cell r="B158">
            <v>198.75</v>
          </cell>
          <cell r="C158">
            <v>16</v>
          </cell>
        </row>
        <row r="159">
          <cell r="B159">
            <v>198.77500000000001</v>
          </cell>
          <cell r="C159">
            <v>16.2</v>
          </cell>
        </row>
        <row r="160">
          <cell r="B160">
            <v>198.8</v>
          </cell>
          <cell r="C160">
            <v>16.399999999999999</v>
          </cell>
        </row>
        <row r="161">
          <cell r="B161">
            <v>198.82499999999999</v>
          </cell>
          <cell r="C161">
            <v>16.600000000000001</v>
          </cell>
        </row>
        <row r="162">
          <cell r="B162">
            <v>198.85</v>
          </cell>
          <cell r="C162">
            <v>16.8</v>
          </cell>
        </row>
        <row r="163">
          <cell r="B163">
            <v>198.875</v>
          </cell>
          <cell r="C163">
            <v>17</v>
          </cell>
        </row>
        <row r="164">
          <cell r="B164">
            <v>198.9</v>
          </cell>
          <cell r="C164">
            <v>17.2</v>
          </cell>
        </row>
        <row r="165">
          <cell r="B165">
            <v>198.92500000000001</v>
          </cell>
          <cell r="C165">
            <v>17.399999999999999</v>
          </cell>
        </row>
        <row r="166">
          <cell r="B166">
            <v>198.95</v>
          </cell>
          <cell r="C166">
            <v>17.600000000000001</v>
          </cell>
        </row>
        <row r="167">
          <cell r="B167">
            <v>198.97499999999999</v>
          </cell>
          <cell r="C167">
            <v>17.8</v>
          </cell>
        </row>
        <row r="168">
          <cell r="B168">
            <v>199</v>
          </cell>
          <cell r="C168">
            <v>18</v>
          </cell>
        </row>
        <row r="169">
          <cell r="B169">
            <v>199.02500000000001</v>
          </cell>
          <cell r="C169">
            <v>18.2</v>
          </cell>
        </row>
        <row r="170">
          <cell r="B170">
            <v>199.05</v>
          </cell>
          <cell r="C170">
            <v>18.399999999999999</v>
          </cell>
        </row>
        <row r="171">
          <cell r="B171">
            <v>199.07499999999999</v>
          </cell>
          <cell r="C171">
            <v>18.600000000000001</v>
          </cell>
        </row>
        <row r="172">
          <cell r="B172">
            <v>199.1</v>
          </cell>
          <cell r="C172">
            <v>18.8</v>
          </cell>
        </row>
        <row r="173">
          <cell r="B173">
            <v>199.125</v>
          </cell>
          <cell r="C173">
            <v>19</v>
          </cell>
        </row>
        <row r="174">
          <cell r="B174">
            <v>199.15</v>
          </cell>
          <cell r="C174">
            <v>19.2</v>
          </cell>
        </row>
        <row r="175">
          <cell r="B175">
            <v>199.17500000000001</v>
          </cell>
          <cell r="C175">
            <v>19.399999999999999</v>
          </cell>
        </row>
        <row r="176">
          <cell r="B176">
            <v>199.2</v>
          </cell>
          <cell r="C176">
            <v>19.600000000000001</v>
          </cell>
        </row>
        <row r="177">
          <cell r="B177">
            <v>199.22499999999999</v>
          </cell>
          <cell r="C177">
            <v>19.8</v>
          </cell>
        </row>
        <row r="178">
          <cell r="B178">
            <v>199.25</v>
          </cell>
          <cell r="C178">
            <v>20</v>
          </cell>
        </row>
        <row r="179">
          <cell r="B179">
            <v>199.27500000000001</v>
          </cell>
          <cell r="C179">
            <v>20.2</v>
          </cell>
        </row>
        <row r="180">
          <cell r="B180">
            <v>199.3</v>
          </cell>
          <cell r="C180">
            <v>20.399999999999999</v>
          </cell>
        </row>
        <row r="181">
          <cell r="B181">
            <v>199.32499999999999</v>
          </cell>
          <cell r="C181">
            <v>20.6</v>
          </cell>
        </row>
        <row r="182">
          <cell r="B182">
            <v>199.35</v>
          </cell>
          <cell r="C182">
            <v>20.8</v>
          </cell>
        </row>
        <row r="183">
          <cell r="B183">
            <v>199.375</v>
          </cell>
          <cell r="C183">
            <v>21</v>
          </cell>
        </row>
        <row r="184">
          <cell r="B184">
            <v>199.4</v>
          </cell>
          <cell r="C184">
            <v>21.2</v>
          </cell>
        </row>
        <row r="185">
          <cell r="B185">
            <v>199.42500000000001</v>
          </cell>
          <cell r="C185">
            <v>21.4</v>
          </cell>
        </row>
        <row r="186">
          <cell r="B186">
            <v>199.45</v>
          </cell>
          <cell r="C186">
            <v>21.6</v>
          </cell>
        </row>
        <row r="187">
          <cell r="B187">
            <v>199.47499999999999</v>
          </cell>
          <cell r="C187">
            <v>21.8</v>
          </cell>
        </row>
        <row r="188">
          <cell r="B188">
            <v>199.5</v>
          </cell>
          <cell r="C188">
            <v>22</v>
          </cell>
        </row>
        <row r="189">
          <cell r="B189">
            <v>199.52500000000001</v>
          </cell>
          <cell r="C189">
            <v>22.274999999999999</v>
          </cell>
        </row>
        <row r="190">
          <cell r="B190">
            <v>199.55</v>
          </cell>
          <cell r="C190">
            <v>22.55</v>
          </cell>
        </row>
        <row r="191">
          <cell r="B191">
            <v>199.57499999999999</v>
          </cell>
          <cell r="C191">
            <v>22.824999999999999</v>
          </cell>
        </row>
        <row r="192">
          <cell r="B192">
            <v>199.6</v>
          </cell>
          <cell r="C192">
            <v>23.1</v>
          </cell>
        </row>
        <row r="193">
          <cell r="B193">
            <v>199.625</v>
          </cell>
          <cell r="C193">
            <v>23.375</v>
          </cell>
        </row>
        <row r="194">
          <cell r="B194">
            <v>199.65</v>
          </cell>
          <cell r="C194">
            <v>23.65</v>
          </cell>
        </row>
        <row r="195">
          <cell r="B195">
            <v>199.67500000000001</v>
          </cell>
          <cell r="C195">
            <v>23.925000000000001</v>
          </cell>
        </row>
        <row r="196">
          <cell r="B196">
            <v>199.7</v>
          </cell>
          <cell r="C196">
            <v>24.2</v>
          </cell>
        </row>
        <row r="197">
          <cell r="B197">
            <v>199.72499999999999</v>
          </cell>
          <cell r="C197">
            <v>24.475000000000001</v>
          </cell>
        </row>
        <row r="198">
          <cell r="B198">
            <v>199.75</v>
          </cell>
          <cell r="C198">
            <v>24.75</v>
          </cell>
        </row>
        <row r="199">
          <cell r="B199">
            <v>199.77500000000001</v>
          </cell>
          <cell r="C199">
            <v>25.024999999999999</v>
          </cell>
        </row>
        <row r="200">
          <cell r="B200">
            <v>199.8</v>
          </cell>
          <cell r="C200">
            <v>25.3</v>
          </cell>
        </row>
        <row r="201">
          <cell r="B201">
            <v>199.82499999999999</v>
          </cell>
          <cell r="C201">
            <v>25.574999999999999</v>
          </cell>
        </row>
        <row r="202">
          <cell r="B202">
            <v>199.85</v>
          </cell>
          <cell r="C202">
            <v>25.85</v>
          </cell>
        </row>
        <row r="203">
          <cell r="B203">
            <v>199.875</v>
          </cell>
          <cell r="C203">
            <v>26.125</v>
          </cell>
        </row>
        <row r="204">
          <cell r="B204">
            <v>199.9</v>
          </cell>
          <cell r="C204">
            <v>26.4</v>
          </cell>
        </row>
        <row r="205">
          <cell r="B205">
            <v>199.92500000000001</v>
          </cell>
          <cell r="C205">
            <v>26.675000000000001</v>
          </cell>
        </row>
        <row r="206">
          <cell r="B206">
            <v>199.95</v>
          </cell>
          <cell r="C206">
            <v>26.95</v>
          </cell>
        </row>
        <row r="207">
          <cell r="B207">
            <v>199.97499999999999</v>
          </cell>
          <cell r="C207">
            <v>27.225000000000001</v>
          </cell>
        </row>
        <row r="208">
          <cell r="B208">
            <v>200</v>
          </cell>
          <cell r="C208">
            <v>27.5</v>
          </cell>
        </row>
        <row r="209">
          <cell r="B209">
            <v>200.02500000000001</v>
          </cell>
          <cell r="C209">
            <v>27.8</v>
          </cell>
        </row>
        <row r="210">
          <cell r="B210">
            <v>200.05</v>
          </cell>
          <cell r="C210">
            <v>28.1</v>
          </cell>
        </row>
        <row r="211">
          <cell r="B211">
            <v>200.07499999999999</v>
          </cell>
          <cell r="C211">
            <v>28.4</v>
          </cell>
        </row>
        <row r="212">
          <cell r="B212">
            <v>200.1</v>
          </cell>
          <cell r="C212">
            <v>28.7</v>
          </cell>
        </row>
        <row r="213">
          <cell r="B213">
            <v>200.12500000000108</v>
          </cell>
          <cell r="C213">
            <v>29</v>
          </cell>
        </row>
        <row r="214">
          <cell r="B214">
            <v>200.15000000000109</v>
          </cell>
          <cell r="C214">
            <v>29.3</v>
          </cell>
        </row>
        <row r="215">
          <cell r="B215">
            <v>200.17500000000109</v>
          </cell>
          <cell r="C215">
            <v>29.6</v>
          </cell>
        </row>
        <row r="216">
          <cell r="B216">
            <v>200.2000000000011</v>
          </cell>
          <cell r="C216">
            <v>29.9</v>
          </cell>
        </row>
        <row r="217">
          <cell r="B217">
            <v>200.2250000000011</v>
          </cell>
          <cell r="C217">
            <v>30.2</v>
          </cell>
        </row>
        <row r="218">
          <cell r="B218">
            <v>200.25000000000111</v>
          </cell>
          <cell r="C218">
            <v>30.5</v>
          </cell>
        </row>
        <row r="219">
          <cell r="B219">
            <v>200.27500000000111</v>
          </cell>
          <cell r="C219">
            <v>30.8</v>
          </cell>
        </row>
        <row r="220">
          <cell r="B220">
            <v>200.30000000000112</v>
          </cell>
          <cell r="C220">
            <v>31.1</v>
          </cell>
        </row>
        <row r="221">
          <cell r="B221">
            <v>200.32500000000113</v>
          </cell>
          <cell r="C221">
            <v>31.4</v>
          </cell>
        </row>
        <row r="222">
          <cell r="B222">
            <v>200.35000000000113</v>
          </cell>
          <cell r="C222">
            <v>31.7</v>
          </cell>
        </row>
        <row r="223">
          <cell r="B223">
            <v>200.37500000000114</v>
          </cell>
          <cell r="C223">
            <v>32</v>
          </cell>
        </row>
        <row r="224">
          <cell r="B224">
            <v>200.40000000000114</v>
          </cell>
          <cell r="C224">
            <v>32.299999999999997</v>
          </cell>
        </row>
        <row r="225">
          <cell r="B225">
            <v>200.42500000000115</v>
          </cell>
          <cell r="C225">
            <v>32.6</v>
          </cell>
        </row>
        <row r="226">
          <cell r="B226">
            <v>200.45000000000115</v>
          </cell>
          <cell r="C226">
            <v>32.9</v>
          </cell>
        </row>
        <row r="227">
          <cell r="B227">
            <v>200.47500000000116</v>
          </cell>
          <cell r="C227">
            <v>33.200000000000003</v>
          </cell>
        </row>
        <row r="228">
          <cell r="B228">
            <v>200.5</v>
          </cell>
          <cell r="C228">
            <v>33.49999999999995</v>
          </cell>
        </row>
        <row r="229">
          <cell r="B229">
            <v>200.52500000000001</v>
          </cell>
          <cell r="C229">
            <v>33.87499999999995</v>
          </cell>
        </row>
        <row r="230">
          <cell r="B230">
            <v>200.55</v>
          </cell>
          <cell r="C230">
            <v>34.24999999999995</v>
          </cell>
        </row>
        <row r="231">
          <cell r="B231">
            <v>200.57499999999999</v>
          </cell>
          <cell r="C231">
            <v>34.62499999999995</v>
          </cell>
        </row>
        <row r="232">
          <cell r="B232">
            <v>200.6</v>
          </cell>
          <cell r="C232">
            <v>34.99999999999995</v>
          </cell>
        </row>
        <row r="233">
          <cell r="B233">
            <v>200.625</v>
          </cell>
          <cell r="C233">
            <v>35.37499999999995</v>
          </cell>
        </row>
        <row r="234">
          <cell r="B234">
            <v>200.65</v>
          </cell>
          <cell r="C234">
            <v>35.74999999999995</v>
          </cell>
        </row>
        <row r="235">
          <cell r="B235">
            <v>200.67500000000001</v>
          </cell>
          <cell r="C235">
            <v>36.12499999999995</v>
          </cell>
        </row>
        <row r="236">
          <cell r="B236">
            <v>200.7</v>
          </cell>
          <cell r="C236">
            <v>36.49999999999995</v>
          </cell>
        </row>
        <row r="237">
          <cell r="B237">
            <v>200.72499999999999</v>
          </cell>
          <cell r="C237">
            <v>36.87499999999995</v>
          </cell>
        </row>
        <row r="238">
          <cell r="B238">
            <v>200.75</v>
          </cell>
          <cell r="C238">
            <v>37.24999999999995</v>
          </cell>
        </row>
        <row r="239">
          <cell r="B239">
            <v>200.77500000000001</v>
          </cell>
          <cell r="C239">
            <v>37.62499999999995</v>
          </cell>
        </row>
        <row r="240">
          <cell r="B240">
            <v>200.8</v>
          </cell>
          <cell r="C240">
            <v>37.99999999999995</v>
          </cell>
        </row>
        <row r="241">
          <cell r="B241">
            <v>200.82499999999999</v>
          </cell>
          <cell r="C241">
            <v>38.37499999999995</v>
          </cell>
        </row>
        <row r="242">
          <cell r="B242">
            <v>200.85</v>
          </cell>
          <cell r="C242">
            <v>38.74999999999995</v>
          </cell>
        </row>
        <row r="243">
          <cell r="B243">
            <v>200.875</v>
          </cell>
          <cell r="C243">
            <v>39.12499999999995</v>
          </cell>
        </row>
        <row r="244">
          <cell r="B244">
            <v>200.9</v>
          </cell>
          <cell r="C244">
            <v>39.49999999999995</v>
          </cell>
        </row>
        <row r="245">
          <cell r="B245">
            <v>200.92500000000001</v>
          </cell>
          <cell r="C245">
            <v>39.87499999999995</v>
          </cell>
        </row>
        <row r="246">
          <cell r="B246">
            <v>200.95</v>
          </cell>
          <cell r="C246">
            <v>40.24999999999995</v>
          </cell>
        </row>
        <row r="247">
          <cell r="B247">
            <v>200.97499999999999</v>
          </cell>
          <cell r="C247">
            <v>40.62499999999995</v>
          </cell>
        </row>
        <row r="248">
          <cell r="B248">
            <v>201</v>
          </cell>
          <cell r="C248">
            <v>41</v>
          </cell>
        </row>
        <row r="249">
          <cell r="B249">
            <v>201.02500000000001</v>
          </cell>
          <cell r="C249">
            <v>41.375</v>
          </cell>
        </row>
        <row r="250">
          <cell r="B250">
            <v>201.05</v>
          </cell>
          <cell r="C250">
            <v>41.75</v>
          </cell>
        </row>
        <row r="251">
          <cell r="B251">
            <v>201.07499999999999</v>
          </cell>
          <cell r="C251">
            <v>42.125</v>
          </cell>
        </row>
        <row r="252">
          <cell r="B252">
            <v>201.1</v>
          </cell>
          <cell r="C252">
            <v>42.5</v>
          </cell>
        </row>
        <row r="253">
          <cell r="B253">
            <v>201.125</v>
          </cell>
          <cell r="C253">
            <v>42.875</v>
          </cell>
        </row>
        <row r="254">
          <cell r="B254">
            <v>201.15</v>
          </cell>
          <cell r="C254">
            <v>43.25</v>
          </cell>
        </row>
        <row r="255">
          <cell r="B255">
            <v>201.17500000000001</v>
          </cell>
          <cell r="C255">
            <v>43.625</v>
          </cell>
        </row>
        <row r="256">
          <cell r="B256">
            <v>201.2</v>
          </cell>
          <cell r="C256">
            <v>44</v>
          </cell>
        </row>
        <row r="257">
          <cell r="B257">
            <v>201.22499999999999</v>
          </cell>
          <cell r="C257">
            <v>44.375</v>
          </cell>
        </row>
        <row r="258">
          <cell r="B258">
            <v>201.25</v>
          </cell>
          <cell r="C258">
            <v>44.75</v>
          </cell>
        </row>
        <row r="259">
          <cell r="B259">
            <v>201.27500000000001</v>
          </cell>
          <cell r="C259">
            <v>45.125</v>
          </cell>
        </row>
        <row r="260">
          <cell r="B260">
            <v>201.3</v>
          </cell>
          <cell r="C260">
            <v>45.5</v>
          </cell>
        </row>
        <row r="261">
          <cell r="B261">
            <v>201.32499999999999</v>
          </cell>
          <cell r="C261">
            <v>45.875</v>
          </cell>
        </row>
        <row r="262">
          <cell r="B262">
            <v>201.35</v>
          </cell>
          <cell r="C262">
            <v>46.25</v>
          </cell>
        </row>
        <row r="263">
          <cell r="B263">
            <v>201.375</v>
          </cell>
          <cell r="C263">
            <v>46.625</v>
          </cell>
        </row>
        <row r="264">
          <cell r="B264">
            <v>201.4</v>
          </cell>
          <cell r="C264">
            <v>47</v>
          </cell>
        </row>
        <row r="265">
          <cell r="B265">
            <v>201.42500000000001</v>
          </cell>
          <cell r="C265">
            <v>47.375</v>
          </cell>
        </row>
        <row r="266">
          <cell r="B266">
            <v>201.45</v>
          </cell>
          <cell r="C266">
            <v>47.75</v>
          </cell>
        </row>
        <row r="267">
          <cell r="B267">
            <v>201.47499999999999</v>
          </cell>
          <cell r="C267">
            <v>48.125</v>
          </cell>
        </row>
        <row r="268">
          <cell r="B268">
            <v>201.5</v>
          </cell>
          <cell r="C268">
            <v>48.5</v>
          </cell>
        </row>
        <row r="269">
          <cell r="B269">
            <v>201.52500000000001</v>
          </cell>
          <cell r="C269">
            <v>48.924999999999997</v>
          </cell>
        </row>
        <row r="270">
          <cell r="B270">
            <v>201.55</v>
          </cell>
          <cell r="C270">
            <v>49.35</v>
          </cell>
        </row>
        <row r="271">
          <cell r="B271">
            <v>201.57499999999999</v>
          </cell>
          <cell r="C271">
            <v>49.774999999999999</v>
          </cell>
        </row>
        <row r="272">
          <cell r="B272">
            <v>201.6</v>
          </cell>
          <cell r="C272">
            <v>50.2</v>
          </cell>
        </row>
        <row r="273">
          <cell r="B273">
            <v>201.625</v>
          </cell>
          <cell r="C273">
            <v>50.625</v>
          </cell>
        </row>
        <row r="274">
          <cell r="B274">
            <v>201.65</v>
          </cell>
          <cell r="C274">
            <v>51.05</v>
          </cell>
        </row>
        <row r="275">
          <cell r="B275">
            <v>201.67500000000001</v>
          </cell>
          <cell r="C275">
            <v>51.475000000000001</v>
          </cell>
        </row>
        <row r="276">
          <cell r="B276">
            <v>201.7</v>
          </cell>
          <cell r="C276">
            <v>51.9</v>
          </cell>
        </row>
        <row r="277">
          <cell r="B277">
            <v>201.72499999999999</v>
          </cell>
          <cell r="C277">
            <v>52.325000000000003</v>
          </cell>
        </row>
        <row r="278">
          <cell r="B278">
            <v>201.75</v>
          </cell>
          <cell r="C278">
            <v>52.75</v>
          </cell>
        </row>
        <row r="279">
          <cell r="B279">
            <v>201.77500000000001</v>
          </cell>
          <cell r="C279">
            <v>53.174999999999997</v>
          </cell>
        </row>
        <row r="280">
          <cell r="B280">
            <v>201.8</v>
          </cell>
          <cell r="C280">
            <v>53.6</v>
          </cell>
        </row>
        <row r="281">
          <cell r="B281">
            <v>201.82499999999999</v>
          </cell>
          <cell r="C281">
            <v>54.024999999999999</v>
          </cell>
        </row>
        <row r="282">
          <cell r="B282">
            <v>201.85</v>
          </cell>
          <cell r="C282">
            <v>54.45</v>
          </cell>
        </row>
        <row r="283">
          <cell r="B283">
            <v>201.875</v>
          </cell>
          <cell r="C283">
            <v>54.875</v>
          </cell>
        </row>
        <row r="284">
          <cell r="B284">
            <v>201.9</v>
          </cell>
          <cell r="C284">
            <v>55.3</v>
          </cell>
        </row>
        <row r="285">
          <cell r="B285">
            <v>201.92500000000001</v>
          </cell>
          <cell r="C285">
            <v>55.725000000000001</v>
          </cell>
        </row>
        <row r="286">
          <cell r="B286">
            <v>201.95</v>
          </cell>
          <cell r="C286">
            <v>56.15</v>
          </cell>
        </row>
        <row r="287">
          <cell r="B287">
            <v>201.97499999999999</v>
          </cell>
          <cell r="C287">
            <v>56.575000000000003</v>
          </cell>
        </row>
        <row r="288">
          <cell r="B288">
            <v>202</v>
          </cell>
          <cell r="C288">
            <v>57</v>
          </cell>
        </row>
        <row r="289">
          <cell r="B289">
            <v>202.02500000000001</v>
          </cell>
          <cell r="C289">
            <v>57.475000000000001</v>
          </cell>
        </row>
        <row r="290">
          <cell r="B290">
            <v>202.05</v>
          </cell>
          <cell r="C290">
            <v>57.95</v>
          </cell>
        </row>
        <row r="291">
          <cell r="B291">
            <v>202.07499999999999</v>
          </cell>
          <cell r="C291">
            <v>58.424999999999997</v>
          </cell>
        </row>
        <row r="292">
          <cell r="B292">
            <v>202.1</v>
          </cell>
          <cell r="C292">
            <v>58.9</v>
          </cell>
        </row>
        <row r="293">
          <cell r="B293">
            <v>202.125</v>
          </cell>
          <cell r="C293">
            <v>59.375</v>
          </cell>
        </row>
        <row r="294">
          <cell r="B294">
            <v>202.15</v>
          </cell>
          <cell r="C294">
            <v>59.85</v>
          </cell>
        </row>
        <row r="295">
          <cell r="B295">
            <v>202.17500000000001</v>
          </cell>
          <cell r="C295">
            <v>60.325000000000003</v>
          </cell>
        </row>
        <row r="296">
          <cell r="B296">
            <v>202.2</v>
          </cell>
          <cell r="C296">
            <v>60.8</v>
          </cell>
        </row>
        <row r="297">
          <cell r="B297">
            <v>202.22499999999999</v>
          </cell>
          <cell r="C297">
            <v>61.274999999999999</v>
          </cell>
        </row>
        <row r="298">
          <cell r="B298">
            <v>202.25</v>
          </cell>
          <cell r="C298">
            <v>61.75</v>
          </cell>
        </row>
        <row r="299">
          <cell r="B299">
            <v>202.27500000000001</v>
          </cell>
          <cell r="C299">
            <v>62.225000000000001</v>
          </cell>
        </row>
        <row r="300">
          <cell r="B300">
            <v>202.3</v>
          </cell>
          <cell r="C300">
            <v>62.7</v>
          </cell>
        </row>
        <row r="301">
          <cell r="B301">
            <v>202.32499999999999</v>
          </cell>
          <cell r="C301">
            <v>63.174999999999997</v>
          </cell>
        </row>
        <row r="302">
          <cell r="B302">
            <v>202.35</v>
          </cell>
          <cell r="C302">
            <v>63.65</v>
          </cell>
        </row>
        <row r="303">
          <cell r="B303">
            <v>202.375</v>
          </cell>
          <cell r="C303">
            <v>64.125</v>
          </cell>
        </row>
        <row r="304">
          <cell r="B304">
            <v>202.4</v>
          </cell>
          <cell r="C304">
            <v>64.599999999999994</v>
          </cell>
        </row>
        <row r="305">
          <cell r="B305">
            <v>202.42500000000001</v>
          </cell>
          <cell r="C305">
            <v>65.075000000000003</v>
          </cell>
        </row>
        <row r="306">
          <cell r="B306">
            <v>202.45</v>
          </cell>
          <cell r="C306">
            <v>65.55</v>
          </cell>
        </row>
        <row r="307">
          <cell r="B307">
            <v>202.47499999999999</v>
          </cell>
          <cell r="C307">
            <v>66.025000000000006</v>
          </cell>
        </row>
        <row r="308">
          <cell r="B308">
            <v>202.5</v>
          </cell>
          <cell r="C308">
            <v>66.5</v>
          </cell>
        </row>
        <row r="309">
          <cell r="B309">
            <v>202.52500000000001</v>
          </cell>
          <cell r="C309">
            <v>67.099999999999994</v>
          </cell>
        </row>
        <row r="310">
          <cell r="B310">
            <v>202.55</v>
          </cell>
          <cell r="C310">
            <v>67.7</v>
          </cell>
        </row>
        <row r="311">
          <cell r="B311">
            <v>202.57499999999999</v>
          </cell>
          <cell r="C311">
            <v>68.3</v>
          </cell>
        </row>
        <row r="312">
          <cell r="B312">
            <v>202.6</v>
          </cell>
          <cell r="C312">
            <v>68.900000000000006</v>
          </cell>
        </row>
        <row r="313">
          <cell r="B313">
            <v>202.625</v>
          </cell>
          <cell r="C313">
            <v>69.5</v>
          </cell>
        </row>
        <row r="314">
          <cell r="B314">
            <v>202.65</v>
          </cell>
          <cell r="C314">
            <v>70.099999999999994</v>
          </cell>
        </row>
        <row r="315">
          <cell r="B315">
            <v>202.67500000000001</v>
          </cell>
          <cell r="C315">
            <v>70.7</v>
          </cell>
        </row>
        <row r="316">
          <cell r="B316">
            <v>202.7</v>
          </cell>
          <cell r="C316">
            <v>71.3</v>
          </cell>
        </row>
        <row r="317">
          <cell r="B317">
            <v>202.72499999999999</v>
          </cell>
          <cell r="C317">
            <v>71.900000000000006</v>
          </cell>
        </row>
        <row r="318">
          <cell r="B318">
            <v>202.75</v>
          </cell>
          <cell r="C318">
            <v>72.5</v>
          </cell>
        </row>
        <row r="319">
          <cell r="B319">
            <v>202.77500000000001</v>
          </cell>
          <cell r="C319">
            <v>73.099999999999994</v>
          </cell>
        </row>
        <row r="320">
          <cell r="B320">
            <v>202.8</v>
          </cell>
          <cell r="C320">
            <v>73.7</v>
          </cell>
        </row>
        <row r="321">
          <cell r="B321">
            <v>202.82499999999999</v>
          </cell>
          <cell r="C321">
            <v>74.3</v>
          </cell>
        </row>
        <row r="322">
          <cell r="B322">
            <v>202.85</v>
          </cell>
          <cell r="C322">
            <v>74.900000000000006</v>
          </cell>
        </row>
        <row r="323">
          <cell r="B323">
            <v>202.875</v>
          </cell>
          <cell r="C323">
            <v>75.5</v>
          </cell>
        </row>
        <row r="324">
          <cell r="B324">
            <v>202.9</v>
          </cell>
          <cell r="C324">
            <v>76.099999999999994</v>
          </cell>
        </row>
        <row r="325">
          <cell r="B325">
            <v>202.92500000000001</v>
          </cell>
          <cell r="C325">
            <v>76.7</v>
          </cell>
        </row>
        <row r="326">
          <cell r="B326">
            <v>202.95</v>
          </cell>
          <cell r="C326">
            <v>77.3</v>
          </cell>
        </row>
        <row r="327">
          <cell r="B327">
            <v>202.97499999999999</v>
          </cell>
          <cell r="C327">
            <v>77.900000000000006</v>
          </cell>
        </row>
        <row r="328">
          <cell r="B328">
            <v>203</v>
          </cell>
          <cell r="C328">
            <v>78.5</v>
          </cell>
        </row>
        <row r="329">
          <cell r="B329">
            <v>203.02500000000001</v>
          </cell>
          <cell r="C329">
            <v>79.075000000000003</v>
          </cell>
        </row>
        <row r="330">
          <cell r="B330">
            <v>203.05</v>
          </cell>
          <cell r="C330">
            <v>79.650000000000006</v>
          </cell>
        </row>
        <row r="331">
          <cell r="B331">
            <v>203.07499999999999</v>
          </cell>
          <cell r="C331">
            <v>80.224999999999994</v>
          </cell>
        </row>
        <row r="332">
          <cell r="B332">
            <v>203.1</v>
          </cell>
          <cell r="C332">
            <v>80.8</v>
          </cell>
        </row>
        <row r="333">
          <cell r="B333">
            <v>203.125</v>
          </cell>
          <cell r="C333">
            <v>81.375</v>
          </cell>
        </row>
        <row r="334">
          <cell r="B334">
            <v>203.15</v>
          </cell>
          <cell r="C334">
            <v>81.95</v>
          </cell>
        </row>
        <row r="335">
          <cell r="B335">
            <v>203.17500000000001</v>
          </cell>
          <cell r="C335">
            <v>82.525000000000006</v>
          </cell>
        </row>
        <row r="336">
          <cell r="B336">
            <v>203.2</v>
          </cell>
          <cell r="C336">
            <v>83.1</v>
          </cell>
        </row>
        <row r="337">
          <cell r="B337">
            <v>203.22499999999999</v>
          </cell>
          <cell r="C337">
            <v>83.674999999999997</v>
          </cell>
        </row>
        <row r="338">
          <cell r="B338">
            <v>203.25</v>
          </cell>
          <cell r="C338">
            <v>84.25</v>
          </cell>
        </row>
        <row r="339">
          <cell r="B339">
            <v>203.27500000000001</v>
          </cell>
          <cell r="C339">
            <v>84.825000000000003</v>
          </cell>
        </row>
        <row r="340">
          <cell r="B340">
            <v>203.3</v>
          </cell>
          <cell r="C340">
            <v>85.4</v>
          </cell>
        </row>
        <row r="341">
          <cell r="B341">
            <v>203.32499999999999</v>
          </cell>
          <cell r="C341">
            <v>85.974999999999994</v>
          </cell>
        </row>
        <row r="342">
          <cell r="B342">
            <v>203.35</v>
          </cell>
          <cell r="C342">
            <v>86.55</v>
          </cell>
        </row>
        <row r="343">
          <cell r="B343">
            <v>203.375</v>
          </cell>
          <cell r="C343">
            <v>87.125</v>
          </cell>
        </row>
        <row r="344">
          <cell r="B344">
            <v>203.4</v>
          </cell>
          <cell r="C344">
            <v>87.7</v>
          </cell>
        </row>
        <row r="345">
          <cell r="B345">
            <v>203.42500000000001</v>
          </cell>
          <cell r="C345">
            <v>88.275000000000006</v>
          </cell>
        </row>
        <row r="346">
          <cell r="B346">
            <v>203.45</v>
          </cell>
          <cell r="C346">
            <v>88.85</v>
          </cell>
        </row>
        <row r="347">
          <cell r="B347">
            <v>203.47499999999999</v>
          </cell>
          <cell r="C347">
            <v>89.424999999999997</v>
          </cell>
        </row>
        <row r="348">
          <cell r="B348">
            <v>203.5</v>
          </cell>
          <cell r="C348">
            <v>90</v>
          </cell>
        </row>
        <row r="349">
          <cell r="B349">
            <v>203.52500000000001</v>
          </cell>
          <cell r="C349">
            <v>90.8</v>
          </cell>
        </row>
        <row r="350">
          <cell r="B350">
            <v>203.55</v>
          </cell>
          <cell r="C350">
            <v>91.6</v>
          </cell>
        </row>
        <row r="351">
          <cell r="B351">
            <v>203.57499999999999</v>
          </cell>
          <cell r="C351">
            <v>92.4</v>
          </cell>
        </row>
        <row r="352">
          <cell r="B352">
            <v>203.6</v>
          </cell>
          <cell r="C352">
            <v>93.2</v>
          </cell>
        </row>
        <row r="353">
          <cell r="B353">
            <v>203.625</v>
          </cell>
          <cell r="C353">
            <v>94</v>
          </cell>
        </row>
        <row r="354">
          <cell r="B354">
            <v>203.65</v>
          </cell>
          <cell r="C354">
            <v>94.8</v>
          </cell>
        </row>
        <row r="355">
          <cell r="B355">
            <v>203.67500000000001</v>
          </cell>
          <cell r="C355">
            <v>95.6</v>
          </cell>
        </row>
        <row r="356">
          <cell r="B356">
            <v>203.7</v>
          </cell>
          <cell r="C356">
            <v>96.4</v>
          </cell>
        </row>
        <row r="357">
          <cell r="B357">
            <v>203.72499999999999</v>
          </cell>
          <cell r="C357">
            <v>97.2</v>
          </cell>
        </row>
        <row r="358">
          <cell r="B358">
            <v>203.75</v>
          </cell>
          <cell r="C358">
            <v>98</v>
          </cell>
        </row>
        <row r="359">
          <cell r="B359">
            <v>203.77500000000001</v>
          </cell>
          <cell r="C359">
            <v>98.8</v>
          </cell>
        </row>
        <row r="360">
          <cell r="B360">
            <v>203.8</v>
          </cell>
          <cell r="C360">
            <v>99.6</v>
          </cell>
        </row>
        <row r="361">
          <cell r="B361">
            <v>203.82499999999999</v>
          </cell>
          <cell r="C361">
            <v>100.4</v>
          </cell>
        </row>
        <row r="362">
          <cell r="B362">
            <v>203.85</v>
          </cell>
          <cell r="C362">
            <v>101.2</v>
          </cell>
        </row>
        <row r="363">
          <cell r="B363">
            <v>203.875</v>
          </cell>
          <cell r="C363">
            <v>102</v>
          </cell>
        </row>
        <row r="364">
          <cell r="B364">
            <v>203.9</v>
          </cell>
          <cell r="C364">
            <v>102.8</v>
          </cell>
        </row>
        <row r="365">
          <cell r="B365">
            <v>203.92500000000001</v>
          </cell>
          <cell r="C365">
            <v>103.6</v>
          </cell>
        </row>
        <row r="366">
          <cell r="B366">
            <v>203.95</v>
          </cell>
          <cell r="C366">
            <v>104.4</v>
          </cell>
        </row>
        <row r="367">
          <cell r="B367">
            <v>203.97499999999999</v>
          </cell>
          <cell r="C367">
            <v>105.2</v>
          </cell>
        </row>
        <row r="368">
          <cell r="B368">
            <v>204</v>
          </cell>
          <cell r="C368">
            <v>106</v>
          </cell>
        </row>
        <row r="369">
          <cell r="B369">
            <v>204.02500000000001</v>
          </cell>
          <cell r="C369">
            <v>106.825</v>
          </cell>
        </row>
        <row r="370">
          <cell r="B370">
            <v>204.05</v>
          </cell>
          <cell r="C370">
            <v>107.65</v>
          </cell>
        </row>
        <row r="371">
          <cell r="B371">
            <v>204.07499999999999</v>
          </cell>
          <cell r="C371">
            <v>108.47499999999999</v>
          </cell>
        </row>
        <row r="372">
          <cell r="B372">
            <v>204.1</v>
          </cell>
          <cell r="C372">
            <v>109.3</v>
          </cell>
        </row>
        <row r="373">
          <cell r="B373">
            <v>204.125</v>
          </cell>
          <cell r="C373">
            <v>110.125</v>
          </cell>
        </row>
        <row r="374">
          <cell r="B374">
            <v>204.15</v>
          </cell>
          <cell r="C374">
            <v>110.95</v>
          </cell>
        </row>
        <row r="375">
          <cell r="B375">
            <v>204.17500000000001</v>
          </cell>
          <cell r="C375">
            <v>111.77500000000001</v>
          </cell>
        </row>
        <row r="376">
          <cell r="B376">
            <v>204.2</v>
          </cell>
          <cell r="C376">
            <v>112.6</v>
          </cell>
        </row>
        <row r="377">
          <cell r="B377">
            <v>204.22499999999999</v>
          </cell>
          <cell r="C377">
            <v>113.425</v>
          </cell>
        </row>
        <row r="378">
          <cell r="B378">
            <v>204.25</v>
          </cell>
          <cell r="C378">
            <v>114.25</v>
          </cell>
        </row>
        <row r="379">
          <cell r="B379">
            <v>204.27500000000001</v>
          </cell>
          <cell r="C379">
            <v>115.075</v>
          </cell>
        </row>
        <row r="380">
          <cell r="B380">
            <v>204.3</v>
          </cell>
          <cell r="C380">
            <v>115.9</v>
          </cell>
        </row>
        <row r="381">
          <cell r="B381">
            <v>204.32499999999999</v>
          </cell>
          <cell r="C381">
            <v>116.72499999999999</v>
          </cell>
        </row>
        <row r="382">
          <cell r="B382">
            <v>204.35</v>
          </cell>
          <cell r="C382">
            <v>117.55</v>
          </cell>
        </row>
        <row r="383">
          <cell r="B383">
            <v>204.375</v>
          </cell>
          <cell r="C383">
            <v>118.375</v>
          </cell>
        </row>
        <row r="384">
          <cell r="B384">
            <v>204.4</v>
          </cell>
          <cell r="C384">
            <v>119.2</v>
          </cell>
        </row>
        <row r="385">
          <cell r="B385">
            <v>204.42500000000001</v>
          </cell>
          <cell r="C385">
            <v>120.02500000000001</v>
          </cell>
        </row>
        <row r="386">
          <cell r="B386">
            <v>204.45</v>
          </cell>
          <cell r="C386">
            <v>120.85</v>
          </cell>
        </row>
        <row r="387">
          <cell r="B387">
            <v>204.47499999999999</v>
          </cell>
          <cell r="C387">
            <v>121.675</v>
          </cell>
        </row>
        <row r="388">
          <cell r="B388">
            <v>204.5</v>
          </cell>
          <cell r="C388">
            <v>122.5</v>
          </cell>
        </row>
        <row r="389">
          <cell r="B389">
            <v>204.52500000000001</v>
          </cell>
          <cell r="C389">
            <v>123.375</v>
          </cell>
        </row>
        <row r="390">
          <cell r="B390">
            <v>204.55</v>
          </cell>
          <cell r="C390">
            <v>124.25</v>
          </cell>
        </row>
        <row r="391">
          <cell r="B391">
            <v>204.57499999999999</v>
          </cell>
          <cell r="C391">
            <v>125.125</v>
          </cell>
        </row>
        <row r="392">
          <cell r="B392">
            <v>204.6</v>
          </cell>
          <cell r="C392">
            <v>126</v>
          </cell>
        </row>
        <row r="393">
          <cell r="B393">
            <v>204.625</v>
          </cell>
          <cell r="C393">
            <v>126.875</v>
          </cell>
        </row>
        <row r="394">
          <cell r="B394">
            <v>204.65</v>
          </cell>
          <cell r="C394">
            <v>127.75</v>
          </cell>
        </row>
        <row r="395">
          <cell r="B395">
            <v>204.67500000000001</v>
          </cell>
          <cell r="C395">
            <v>128.625</v>
          </cell>
        </row>
        <row r="396">
          <cell r="B396">
            <v>204.7</v>
          </cell>
          <cell r="C396">
            <v>129.5</v>
          </cell>
        </row>
        <row r="397">
          <cell r="B397">
            <v>204.72499999999999</v>
          </cell>
          <cell r="C397">
            <v>130.375</v>
          </cell>
        </row>
        <row r="398">
          <cell r="B398">
            <v>204.75</v>
          </cell>
          <cell r="C398">
            <v>131.25</v>
          </cell>
        </row>
        <row r="399">
          <cell r="B399">
            <v>204.77500000000001</v>
          </cell>
          <cell r="C399">
            <v>132.125</v>
          </cell>
        </row>
        <row r="400">
          <cell r="B400">
            <v>204.8</v>
          </cell>
          <cell r="C400">
            <v>133</v>
          </cell>
        </row>
        <row r="401">
          <cell r="B401">
            <v>204.82499999999999</v>
          </cell>
          <cell r="C401">
            <v>133.875</v>
          </cell>
        </row>
        <row r="402">
          <cell r="B402">
            <v>204.85</v>
          </cell>
          <cell r="C402">
            <v>134.75</v>
          </cell>
        </row>
        <row r="403">
          <cell r="B403">
            <v>204.875</v>
          </cell>
          <cell r="C403">
            <v>135.625</v>
          </cell>
        </row>
        <row r="404">
          <cell r="B404">
            <v>204.9</v>
          </cell>
          <cell r="C404">
            <v>136.5</v>
          </cell>
        </row>
        <row r="405">
          <cell r="B405">
            <v>204.92500000000001</v>
          </cell>
          <cell r="C405">
            <v>137.375</v>
          </cell>
        </row>
        <row r="406">
          <cell r="B406">
            <v>204.95</v>
          </cell>
          <cell r="C406">
            <v>138.25</v>
          </cell>
        </row>
        <row r="407">
          <cell r="B407">
            <v>204.97499999999999</v>
          </cell>
          <cell r="C407">
            <v>139.125</v>
          </cell>
        </row>
        <row r="408">
          <cell r="B408">
            <v>205</v>
          </cell>
          <cell r="C408">
            <v>140</v>
          </cell>
        </row>
        <row r="409">
          <cell r="B409">
            <v>205.02500000000001</v>
          </cell>
          <cell r="C409">
            <v>141</v>
          </cell>
        </row>
        <row r="410">
          <cell r="B410">
            <v>205.05</v>
          </cell>
          <cell r="C410">
            <v>142</v>
          </cell>
        </row>
        <row r="411">
          <cell r="B411">
            <v>205.07499999999999</v>
          </cell>
          <cell r="C411">
            <v>143</v>
          </cell>
        </row>
        <row r="412">
          <cell r="B412">
            <v>205.1</v>
          </cell>
          <cell r="C412">
            <v>144</v>
          </cell>
        </row>
        <row r="413">
          <cell r="B413">
            <v>205.125</v>
          </cell>
          <cell r="C413">
            <v>145</v>
          </cell>
        </row>
        <row r="414">
          <cell r="B414">
            <v>205.15</v>
          </cell>
          <cell r="C414">
            <v>146</v>
          </cell>
        </row>
        <row r="415">
          <cell r="B415">
            <v>205.17500000000001</v>
          </cell>
          <cell r="C415">
            <v>147</v>
          </cell>
        </row>
        <row r="416">
          <cell r="B416">
            <v>205.2</v>
          </cell>
          <cell r="C416">
            <v>148</v>
          </cell>
        </row>
        <row r="417">
          <cell r="B417">
            <v>205.22499999999999</v>
          </cell>
          <cell r="C417">
            <v>149</v>
          </cell>
        </row>
        <row r="418">
          <cell r="B418">
            <v>205.25</v>
          </cell>
          <cell r="C418">
            <v>150</v>
          </cell>
        </row>
        <row r="419">
          <cell r="B419">
            <v>205.27500000000001</v>
          </cell>
          <cell r="C419">
            <v>151</v>
          </cell>
        </row>
        <row r="420">
          <cell r="B420">
            <v>205.3</v>
          </cell>
          <cell r="C420">
            <v>152</v>
          </cell>
        </row>
        <row r="421">
          <cell r="B421">
            <v>205.32499999999999</v>
          </cell>
          <cell r="C421">
            <v>153</v>
          </cell>
        </row>
        <row r="422">
          <cell r="B422">
            <v>205.35</v>
          </cell>
          <cell r="C422">
            <v>154</v>
          </cell>
        </row>
        <row r="423">
          <cell r="B423">
            <v>205.375</v>
          </cell>
          <cell r="C423">
            <v>155</v>
          </cell>
        </row>
        <row r="424">
          <cell r="B424">
            <v>205.4</v>
          </cell>
          <cell r="C424">
            <v>156</v>
          </cell>
        </row>
        <row r="425">
          <cell r="B425">
            <v>205.42500000000001</v>
          </cell>
          <cell r="C425">
            <v>157</v>
          </cell>
        </row>
        <row r="426">
          <cell r="B426">
            <v>205.45</v>
          </cell>
          <cell r="C426">
            <v>158</v>
          </cell>
        </row>
        <row r="427">
          <cell r="B427">
            <v>205.47499999999999</v>
          </cell>
          <cell r="C427">
            <v>159</v>
          </cell>
        </row>
        <row r="428">
          <cell r="B428">
            <v>205.5</v>
          </cell>
          <cell r="C428">
            <v>160</v>
          </cell>
        </row>
        <row r="429">
          <cell r="B429">
            <v>205.52500000000001</v>
          </cell>
          <cell r="C429">
            <v>161</v>
          </cell>
        </row>
        <row r="430">
          <cell r="B430">
            <v>205.55</v>
          </cell>
          <cell r="C430">
            <v>162</v>
          </cell>
        </row>
        <row r="431">
          <cell r="B431">
            <v>205.57499999999999</v>
          </cell>
          <cell r="C431">
            <v>163</v>
          </cell>
        </row>
        <row r="432">
          <cell r="B432">
            <v>205.6</v>
          </cell>
          <cell r="C432">
            <v>164</v>
          </cell>
        </row>
        <row r="433">
          <cell r="B433">
            <v>205.625</v>
          </cell>
          <cell r="C433">
            <v>165</v>
          </cell>
        </row>
        <row r="434">
          <cell r="B434">
            <v>205.65</v>
          </cell>
          <cell r="C434">
            <v>166</v>
          </cell>
        </row>
        <row r="435">
          <cell r="B435">
            <v>205.67500000000001</v>
          </cell>
          <cell r="C435">
            <v>167</v>
          </cell>
        </row>
        <row r="436">
          <cell r="B436">
            <v>205.7</v>
          </cell>
          <cell r="C436">
            <v>168</v>
          </cell>
        </row>
        <row r="437">
          <cell r="B437">
            <v>205.72499999999999</v>
          </cell>
          <cell r="C437">
            <v>169</v>
          </cell>
        </row>
        <row r="438">
          <cell r="B438">
            <v>205.75</v>
          </cell>
          <cell r="C438">
            <v>170</v>
          </cell>
        </row>
        <row r="439">
          <cell r="B439">
            <v>205.77500000000001</v>
          </cell>
          <cell r="C439">
            <v>171</v>
          </cell>
        </row>
        <row r="440">
          <cell r="B440">
            <v>205.8</v>
          </cell>
          <cell r="C440">
            <v>172</v>
          </cell>
        </row>
        <row r="441">
          <cell r="B441">
            <v>205.82499999999999</v>
          </cell>
          <cell r="C441">
            <v>173</v>
          </cell>
        </row>
        <row r="442">
          <cell r="B442">
            <v>205.85</v>
          </cell>
          <cell r="C442">
            <v>174</v>
          </cell>
        </row>
        <row r="443">
          <cell r="B443">
            <v>205.875</v>
          </cell>
          <cell r="C443">
            <v>175</v>
          </cell>
        </row>
        <row r="444">
          <cell r="B444">
            <v>205.9</v>
          </cell>
          <cell r="C444">
            <v>176</v>
          </cell>
        </row>
        <row r="445">
          <cell r="B445">
            <v>205.92500000000001</v>
          </cell>
          <cell r="C445">
            <v>177</v>
          </cell>
        </row>
        <row r="446">
          <cell r="B446">
            <v>205.95</v>
          </cell>
          <cell r="C446">
            <v>178</v>
          </cell>
        </row>
        <row r="447">
          <cell r="B447">
            <v>205.97499999999999</v>
          </cell>
          <cell r="C447">
            <v>179</v>
          </cell>
        </row>
        <row r="448">
          <cell r="B448">
            <v>206</v>
          </cell>
          <cell r="C448">
            <v>180</v>
          </cell>
        </row>
        <row r="449">
          <cell r="B449">
            <v>206.02500000000001</v>
          </cell>
          <cell r="C449">
            <v>181.15</v>
          </cell>
        </row>
        <row r="450">
          <cell r="B450">
            <v>206.05</v>
          </cell>
          <cell r="C450">
            <v>182.3</v>
          </cell>
        </row>
        <row r="451">
          <cell r="B451">
            <v>206.07499999999999</v>
          </cell>
          <cell r="C451">
            <v>183.45</v>
          </cell>
        </row>
        <row r="452">
          <cell r="B452">
            <v>206.1</v>
          </cell>
          <cell r="C452">
            <v>184.6</v>
          </cell>
        </row>
        <row r="453">
          <cell r="B453">
            <v>206.125</v>
          </cell>
          <cell r="C453">
            <v>185.75</v>
          </cell>
        </row>
        <row r="454">
          <cell r="B454">
            <v>206.15</v>
          </cell>
          <cell r="C454">
            <v>186.9</v>
          </cell>
        </row>
        <row r="455">
          <cell r="B455">
            <v>206.17500000000001</v>
          </cell>
          <cell r="C455">
            <v>188.05</v>
          </cell>
        </row>
        <row r="456">
          <cell r="B456">
            <v>206.2</v>
          </cell>
          <cell r="C456">
            <v>189.2</v>
          </cell>
        </row>
        <row r="457">
          <cell r="B457">
            <v>206.22499999999999</v>
          </cell>
          <cell r="C457">
            <v>190.35</v>
          </cell>
        </row>
        <row r="458">
          <cell r="B458">
            <v>206.25</v>
          </cell>
          <cell r="C458">
            <v>191.5</v>
          </cell>
        </row>
        <row r="459">
          <cell r="B459">
            <v>206.27500000000001</v>
          </cell>
          <cell r="C459">
            <v>192.65</v>
          </cell>
        </row>
        <row r="460">
          <cell r="B460">
            <v>206.3</v>
          </cell>
          <cell r="C460">
            <v>193.8</v>
          </cell>
        </row>
        <row r="461">
          <cell r="B461">
            <v>206.32499999999999</v>
          </cell>
          <cell r="C461">
            <v>194.95</v>
          </cell>
        </row>
        <row r="462">
          <cell r="B462">
            <v>206.35</v>
          </cell>
          <cell r="C462">
            <v>196.1</v>
          </cell>
        </row>
        <row r="463">
          <cell r="B463">
            <v>206.375</v>
          </cell>
          <cell r="C463">
            <v>197.25</v>
          </cell>
        </row>
        <row r="464">
          <cell r="B464">
            <v>206.4</v>
          </cell>
          <cell r="C464">
            <v>198.4</v>
          </cell>
        </row>
        <row r="465">
          <cell r="B465">
            <v>206.42500000000001</v>
          </cell>
          <cell r="C465">
            <v>199.55</v>
          </cell>
        </row>
        <row r="466">
          <cell r="B466">
            <v>206.45</v>
          </cell>
          <cell r="C466">
            <v>200.7</v>
          </cell>
        </row>
        <row r="467">
          <cell r="B467">
            <v>206.47499999999999</v>
          </cell>
          <cell r="C467">
            <v>201.85</v>
          </cell>
        </row>
        <row r="468">
          <cell r="B468">
            <v>206.5</v>
          </cell>
          <cell r="C468">
            <v>203</v>
          </cell>
        </row>
        <row r="469">
          <cell r="B469">
            <v>206.52500000000001</v>
          </cell>
          <cell r="C469">
            <v>204.17500000000001</v>
          </cell>
        </row>
        <row r="470">
          <cell r="B470">
            <v>206.55</v>
          </cell>
          <cell r="C470">
            <v>205.35</v>
          </cell>
        </row>
        <row r="471">
          <cell r="B471">
            <v>206.57499999999999</v>
          </cell>
          <cell r="C471">
            <v>206.52500000000001</v>
          </cell>
        </row>
        <row r="472">
          <cell r="B472">
            <v>206.6</v>
          </cell>
          <cell r="C472">
            <v>207.7</v>
          </cell>
        </row>
        <row r="473">
          <cell r="B473">
            <v>206.625</v>
          </cell>
          <cell r="C473">
            <v>208.875</v>
          </cell>
        </row>
        <row r="474">
          <cell r="B474">
            <v>206.65</v>
          </cell>
          <cell r="C474">
            <v>210.05</v>
          </cell>
        </row>
        <row r="475">
          <cell r="B475">
            <v>206.67500000000001</v>
          </cell>
          <cell r="C475">
            <v>211.22499999999999</v>
          </cell>
        </row>
        <row r="476">
          <cell r="B476">
            <v>206.7</v>
          </cell>
          <cell r="C476">
            <v>212.4</v>
          </cell>
        </row>
        <row r="477">
          <cell r="B477">
            <v>206.72499999999999</v>
          </cell>
          <cell r="C477">
            <v>213.57499999999999</v>
          </cell>
        </row>
        <row r="478">
          <cell r="B478">
            <v>206.75</v>
          </cell>
          <cell r="C478">
            <v>214.75</v>
          </cell>
        </row>
        <row r="479">
          <cell r="B479">
            <v>206.77500000000001</v>
          </cell>
          <cell r="C479">
            <v>215.92500000000001</v>
          </cell>
        </row>
        <row r="480">
          <cell r="B480">
            <v>206.8</v>
          </cell>
          <cell r="C480">
            <v>217.1</v>
          </cell>
        </row>
        <row r="481">
          <cell r="B481">
            <v>206.82499999999999</v>
          </cell>
          <cell r="C481">
            <v>218.27500000000001</v>
          </cell>
        </row>
        <row r="482">
          <cell r="B482">
            <v>206.85</v>
          </cell>
          <cell r="C482">
            <v>219.45</v>
          </cell>
        </row>
        <row r="483">
          <cell r="B483">
            <v>206.875</v>
          </cell>
          <cell r="C483">
            <v>220.625</v>
          </cell>
        </row>
        <row r="484">
          <cell r="B484">
            <v>206.9</v>
          </cell>
          <cell r="C484">
            <v>221.8</v>
          </cell>
        </row>
        <row r="485">
          <cell r="B485">
            <v>206.92500000000001</v>
          </cell>
          <cell r="C485">
            <v>222.97499999999999</v>
          </cell>
        </row>
        <row r="486">
          <cell r="B486">
            <v>206.95</v>
          </cell>
          <cell r="C486">
            <v>224.15</v>
          </cell>
        </row>
        <row r="487">
          <cell r="B487">
            <v>206.97499999999999</v>
          </cell>
          <cell r="C487">
            <v>225.32499999999999</v>
          </cell>
        </row>
        <row r="488">
          <cell r="B488">
            <v>207</v>
          </cell>
          <cell r="C488">
            <v>226.5</v>
          </cell>
        </row>
        <row r="489">
          <cell r="B489">
            <v>207.02500000000001</v>
          </cell>
          <cell r="C489">
            <v>227.8</v>
          </cell>
        </row>
        <row r="490">
          <cell r="B490">
            <v>207.05</v>
          </cell>
          <cell r="C490">
            <v>229.1</v>
          </cell>
        </row>
        <row r="491">
          <cell r="B491">
            <v>207.07499999999999</v>
          </cell>
          <cell r="C491">
            <v>230.4</v>
          </cell>
        </row>
        <row r="492">
          <cell r="B492">
            <v>207.1</v>
          </cell>
          <cell r="C492">
            <v>231.7</v>
          </cell>
        </row>
        <row r="493">
          <cell r="B493">
            <v>207.125</v>
          </cell>
          <cell r="C493">
            <v>233</v>
          </cell>
        </row>
        <row r="494">
          <cell r="B494">
            <v>207.15</v>
          </cell>
          <cell r="C494">
            <v>234.3</v>
          </cell>
        </row>
        <row r="495">
          <cell r="B495">
            <v>207.17500000000001</v>
          </cell>
          <cell r="C495">
            <v>235.6</v>
          </cell>
        </row>
        <row r="496">
          <cell r="B496">
            <v>207.2</v>
          </cell>
          <cell r="C496">
            <v>236.9</v>
          </cell>
        </row>
        <row r="497">
          <cell r="B497">
            <v>207.22499999999999</v>
          </cell>
          <cell r="C497">
            <v>238.2</v>
          </cell>
        </row>
        <row r="498">
          <cell r="B498">
            <v>207.25</v>
          </cell>
          <cell r="C498">
            <v>239.5</v>
          </cell>
        </row>
        <row r="499">
          <cell r="B499">
            <v>207.27500000000001</v>
          </cell>
          <cell r="C499">
            <v>240.8</v>
          </cell>
        </row>
        <row r="500">
          <cell r="B500">
            <v>207.3</v>
          </cell>
          <cell r="C500">
            <v>242.1</v>
          </cell>
        </row>
        <row r="501">
          <cell r="B501">
            <v>207.32499999999999</v>
          </cell>
          <cell r="C501">
            <v>243.4</v>
          </cell>
        </row>
        <row r="502">
          <cell r="B502">
            <v>207.35</v>
          </cell>
          <cell r="C502">
            <v>244.7</v>
          </cell>
        </row>
        <row r="503">
          <cell r="B503">
            <v>207.375</v>
          </cell>
          <cell r="C503">
            <v>246</v>
          </cell>
        </row>
        <row r="504">
          <cell r="B504">
            <v>207.4</v>
          </cell>
          <cell r="C504">
            <v>247.3</v>
          </cell>
        </row>
        <row r="505">
          <cell r="B505">
            <v>207.42500000000001</v>
          </cell>
          <cell r="C505">
            <v>248.6</v>
          </cell>
        </row>
        <row r="506">
          <cell r="B506">
            <v>207.45</v>
          </cell>
          <cell r="C506">
            <v>249.9</v>
          </cell>
        </row>
        <row r="507">
          <cell r="B507">
            <v>207.47499999999999</v>
          </cell>
          <cell r="C507">
            <v>251.2</v>
          </cell>
        </row>
        <row r="508">
          <cell r="B508">
            <v>207.5</v>
          </cell>
          <cell r="C508">
            <v>252.5</v>
          </cell>
        </row>
        <row r="509">
          <cell r="B509">
            <v>207.52500000000001</v>
          </cell>
          <cell r="C509">
            <v>253.92500000000001</v>
          </cell>
        </row>
        <row r="510">
          <cell r="B510">
            <v>207.55</v>
          </cell>
          <cell r="C510">
            <v>255.35</v>
          </cell>
        </row>
        <row r="511">
          <cell r="B511">
            <v>207.57499999999999</v>
          </cell>
          <cell r="C511">
            <v>256.77499999999998</v>
          </cell>
        </row>
        <row r="512">
          <cell r="B512">
            <v>207.6</v>
          </cell>
          <cell r="C512">
            <v>258.2</v>
          </cell>
        </row>
        <row r="513">
          <cell r="B513">
            <v>207.625</v>
          </cell>
          <cell r="C513">
            <v>259.625</v>
          </cell>
        </row>
        <row r="514">
          <cell r="B514">
            <v>207.65</v>
          </cell>
          <cell r="C514">
            <v>261.05</v>
          </cell>
        </row>
        <row r="515">
          <cell r="B515">
            <v>207.67500000000001</v>
          </cell>
          <cell r="C515">
            <v>262.47500000000002</v>
          </cell>
        </row>
        <row r="516">
          <cell r="B516">
            <v>207.7</v>
          </cell>
          <cell r="C516">
            <v>263.89999999999998</v>
          </cell>
        </row>
        <row r="517">
          <cell r="B517">
            <v>207.72499999999999</v>
          </cell>
          <cell r="C517">
            <v>265.32499999999999</v>
          </cell>
        </row>
        <row r="518">
          <cell r="B518">
            <v>207.75</v>
          </cell>
          <cell r="C518">
            <v>266.75</v>
          </cell>
        </row>
        <row r="519">
          <cell r="B519">
            <v>207.77500000000001</v>
          </cell>
          <cell r="C519">
            <v>268.17500000000001</v>
          </cell>
        </row>
        <row r="520">
          <cell r="B520">
            <v>207.8</v>
          </cell>
          <cell r="C520">
            <v>269.60000000000002</v>
          </cell>
        </row>
        <row r="521">
          <cell r="B521">
            <v>207.82499999999999</v>
          </cell>
          <cell r="C521">
            <v>271.02499999999998</v>
          </cell>
        </row>
        <row r="522">
          <cell r="B522">
            <v>207.85</v>
          </cell>
          <cell r="C522">
            <v>272.45</v>
          </cell>
        </row>
        <row r="523">
          <cell r="B523">
            <v>207.875</v>
          </cell>
          <cell r="C523">
            <v>273.875</v>
          </cell>
        </row>
        <row r="524">
          <cell r="B524">
            <v>207.9</v>
          </cell>
          <cell r="C524">
            <v>275.3</v>
          </cell>
        </row>
        <row r="525">
          <cell r="B525">
            <v>207.92500000000001</v>
          </cell>
          <cell r="C525">
            <v>276.72500000000002</v>
          </cell>
        </row>
        <row r="526">
          <cell r="B526">
            <v>207.95</v>
          </cell>
          <cell r="C526">
            <v>278.14999999999998</v>
          </cell>
        </row>
        <row r="527">
          <cell r="B527">
            <v>207.97499999999999</v>
          </cell>
          <cell r="C527">
            <v>279.57499999999999</v>
          </cell>
        </row>
        <row r="528">
          <cell r="B528">
            <v>208</v>
          </cell>
          <cell r="C528">
            <v>281</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4">
          <cell r="B4">
            <v>7.8600000000000003E-2</v>
          </cell>
        </row>
        <row r="5">
          <cell r="B5">
            <v>7.8600000000000003E-2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form_x0000_"/>
      <sheetName val="04REL"/>
      <sheetName val="Sept "/>
      <sheetName val="7"/>
      <sheetName val="Salient1"/>
      <sheetName val="Labour charges"/>
      <sheetName val="RAJ"/>
      <sheetName val="Feb-06"/>
      <sheetName val="Inputs"/>
      <sheetName val="form"/>
      <sheetName val="form_____________"/>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form_x0000__x0000__x0000__x0000"/>
      <sheetName val="Assumptions"/>
      <sheetName val="form_x005f_x0000__x005f_x0000__x005f_x0000__x0000"/>
      <sheetName val="form_x005f_x0000_"/>
      <sheetName val="form?"/>
      <sheetName val="Ag LF"/>
      <sheetName val="Executive Summary -Thermal"/>
      <sheetName val="Stationwise Thermal &amp; Hydel Gen"/>
      <sheetName val="TWELVE"/>
      <sheetName val="form_"/>
      <sheetName val="all"/>
      <sheetName val="overall"/>
      <sheetName val="Data base"/>
      <sheetName val="form_x005f_x005f_x005f_x0000__x005f_x005f_x005f_x0000__"/>
      <sheetName val="form_x005f_x005f_x005f_x0000_"/>
      <sheetName val="form_x005f_x005f_x005f_x005f_x005f_x005f_x005f_x0000__x"/>
      <sheetName val="form_x005f_x005f_x005f_x005f_x005f_x005f_x005f_x0000_"/>
      <sheetName val="Key_Assume_Common"/>
      <sheetName val="Discom Details"/>
      <sheetName val="data"/>
      <sheetName val="First information "/>
      <sheetName val="annexture-g1"/>
      <sheetName val="PART C"/>
      <sheetName val="Sheet1"/>
      <sheetName val="Part A General"/>
      <sheetName val="feasibility require"/>
      <sheetName val="MOD - Corrected -As per SLDC "/>
      <sheetName val="Interest 30-11-01 not PA 7%"/>
      <sheetName val="x-rate"/>
    </sheetNames>
    <sheetDataSet>
      <sheetData sheetId="0" refreshError="1">
        <row r="35">
          <cell r="G35">
            <v>64254.226096970044</v>
          </cell>
          <cell r="H35">
            <v>59093.238057586968</v>
          </cell>
          <cell r="I35">
            <v>63490.540060935658</v>
          </cell>
        </row>
        <row r="44">
          <cell r="G44">
            <v>24259.407938726315</v>
          </cell>
          <cell r="H44">
            <v>16526.511773419461</v>
          </cell>
          <cell r="I44">
            <v>17654.636270525258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Loan Position"/>
      <sheetName val=""/>
      <sheetName val="D-3 Detail"/>
    </sheetNames>
    <sheetDataSet>
      <sheetData sheetId="0">
        <row r="35">
          <cell r="I35">
            <v>63490.540060935658</v>
          </cell>
        </row>
        <row r="44">
          <cell r="I44">
            <v>17654.636270525258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HLY -99-00"/>
      <sheetName val="Hydro Data"/>
      <sheetName val="HLY0001"/>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 val="FIX DATA"/>
      <sheetName val="Inputs"/>
      <sheetName val="Feb-06"/>
      <sheetName val="04REL"/>
      <sheetName val="RAJ"/>
      <sheetName val="all"/>
      <sheetName val="Data"/>
      <sheetName val="17(B) govt"/>
      <sheetName val="DLC"/>
      <sheetName val="1.1 Trs. Fai."/>
      <sheetName val="feasibility require"/>
      <sheetName val="Sheet1"/>
      <sheetName val="STN WISE EMR"/>
      <sheetName val="Dom"/>
      <sheetName val="MO EY"/>
      <sheetName val="MO CY"/>
      <sheetName val="Lead"/>
    </sheetNames>
    <sheetDataSet>
      <sheetData sheetId="0" refreshError="1">
        <row r="1">
          <cell r="P1">
            <v>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N58"/>
  <sheetViews>
    <sheetView showGridLines="0" tabSelected="1" view="pageBreakPreview" zoomScale="80" zoomScaleNormal="80" zoomScaleSheetLayoutView="80" workbookViewId="0">
      <selection activeCell="H15" sqref="H15"/>
    </sheetView>
  </sheetViews>
  <sheetFormatPr defaultColWidth="9.36328125" defaultRowHeight="14" x14ac:dyDescent="0.25"/>
  <cols>
    <col min="1" max="1" width="6.36328125" style="14" customWidth="1"/>
    <col min="2" max="2" width="9.36328125" style="14" customWidth="1"/>
    <col min="3" max="3" width="75.6328125" style="14" customWidth="1"/>
    <col min="4" max="4" width="17.6328125" style="14" customWidth="1"/>
    <col min="5" max="5" width="20.6328125" style="14" customWidth="1"/>
    <col min="6" max="14" width="18.6328125" style="14" customWidth="1"/>
    <col min="15" max="16384" width="9.36328125" style="14"/>
  </cols>
  <sheetData>
    <row r="2" spans="2:14" ht="17.5" x14ac:dyDescent="0.25">
      <c r="B2" s="1583" t="s">
        <v>779</v>
      </c>
      <c r="C2" s="1584"/>
      <c r="D2" s="1584"/>
      <c r="E2" s="30"/>
      <c r="F2" s="30"/>
      <c r="G2" s="30"/>
      <c r="H2" s="30"/>
      <c r="I2" s="30"/>
      <c r="J2" s="30"/>
      <c r="K2" s="30"/>
      <c r="L2" s="30"/>
      <c r="M2" s="30"/>
      <c r="N2" s="30"/>
    </row>
    <row r="3" spans="2:14" s="5" customFormat="1" ht="15.5" customHeight="1" x14ac:dyDescent="0.3">
      <c r="B3" s="1585" t="s">
        <v>780</v>
      </c>
      <c r="C3" s="1586"/>
      <c r="D3" s="1586"/>
      <c r="E3" s="30"/>
      <c r="F3" s="30"/>
      <c r="G3" s="30"/>
      <c r="H3" s="30"/>
      <c r="I3" s="30"/>
      <c r="J3" s="30"/>
      <c r="K3" s="30"/>
      <c r="L3" s="30"/>
      <c r="M3" s="30"/>
      <c r="N3" s="30"/>
    </row>
    <row r="4" spans="2:14" ht="15.5" x14ac:dyDescent="0.25">
      <c r="B4" s="31"/>
      <c r="C4" s="31"/>
      <c r="D4" s="31"/>
      <c r="E4" s="31"/>
      <c r="F4" s="31"/>
      <c r="G4" s="31"/>
      <c r="H4" s="31"/>
      <c r="I4" s="31"/>
      <c r="J4" s="31"/>
      <c r="K4" s="31"/>
      <c r="L4" s="31"/>
      <c r="M4" s="31"/>
      <c r="N4" s="31"/>
    </row>
    <row r="5" spans="2:14" ht="15.5" x14ac:dyDescent="0.25">
      <c r="B5" s="31"/>
      <c r="C5" s="31"/>
      <c r="D5" s="31"/>
      <c r="E5" s="31"/>
      <c r="F5" s="31"/>
      <c r="G5" s="31"/>
      <c r="H5" s="31"/>
      <c r="I5" s="31"/>
      <c r="J5" s="31"/>
      <c r="K5" s="31"/>
      <c r="L5" s="31"/>
      <c r="M5" s="32"/>
      <c r="N5" s="31"/>
    </row>
    <row r="6" spans="2:14" x14ac:dyDescent="0.25">
      <c r="B6" s="1587" t="s">
        <v>340</v>
      </c>
      <c r="C6" s="1590" t="s">
        <v>15</v>
      </c>
      <c r="D6" s="1590" t="s">
        <v>5</v>
      </c>
    </row>
    <row r="7" spans="2:14" x14ac:dyDescent="0.25">
      <c r="B7" s="1588"/>
      <c r="C7" s="1590"/>
      <c r="D7" s="1590"/>
    </row>
    <row r="8" spans="2:14" x14ac:dyDescent="0.25">
      <c r="B8" s="1589"/>
      <c r="C8" s="1591"/>
      <c r="D8" s="1591"/>
    </row>
    <row r="9" spans="2:14" ht="15.5" x14ac:dyDescent="0.25">
      <c r="B9" s="117">
        <v>1</v>
      </c>
      <c r="C9" s="116" t="s">
        <v>54</v>
      </c>
      <c r="D9" s="1011" t="s">
        <v>13</v>
      </c>
    </row>
    <row r="10" spans="2:14" ht="15.5" x14ac:dyDescent="0.25">
      <c r="B10" s="117">
        <f>B9+1</f>
        <v>2</v>
      </c>
      <c r="C10" s="116" t="s">
        <v>370</v>
      </c>
      <c r="D10" s="1011" t="s">
        <v>371</v>
      </c>
    </row>
    <row r="11" spans="2:14" ht="15.5" x14ac:dyDescent="0.25">
      <c r="B11" s="117">
        <f>B10+1</f>
        <v>3</v>
      </c>
      <c r="C11" s="116" t="s">
        <v>389</v>
      </c>
      <c r="D11" s="1011" t="s">
        <v>56</v>
      </c>
    </row>
    <row r="12" spans="2:14" ht="15.5" x14ac:dyDescent="0.25">
      <c r="B12" s="117">
        <f>B11+1</f>
        <v>4</v>
      </c>
      <c r="C12" s="116" t="s">
        <v>55</v>
      </c>
      <c r="D12" s="1011" t="s">
        <v>57</v>
      </c>
    </row>
    <row r="13" spans="2:14" ht="15.5" x14ac:dyDescent="0.25">
      <c r="B13" s="117">
        <f>B12+1</f>
        <v>5</v>
      </c>
      <c r="C13" s="116" t="s">
        <v>309</v>
      </c>
      <c r="D13" s="1011" t="s">
        <v>59</v>
      </c>
    </row>
    <row r="14" spans="2:14" ht="15.5" x14ac:dyDescent="0.25">
      <c r="B14" s="117">
        <f t="shared" ref="B14:B41" si="0">B13+1</f>
        <v>6</v>
      </c>
      <c r="C14" s="116" t="s">
        <v>58</v>
      </c>
      <c r="D14" s="1011" t="s">
        <v>61</v>
      </c>
    </row>
    <row r="15" spans="2:14" ht="15.5" x14ac:dyDescent="0.25">
      <c r="B15" s="117">
        <f t="shared" si="0"/>
        <v>7</v>
      </c>
      <c r="C15" s="116" t="s">
        <v>60</v>
      </c>
      <c r="D15" s="1011" t="s">
        <v>63</v>
      </c>
    </row>
    <row r="16" spans="2:14" ht="15.5" x14ac:dyDescent="0.25">
      <c r="B16" s="117">
        <f t="shared" si="0"/>
        <v>8</v>
      </c>
      <c r="C16" s="118" t="s">
        <v>356</v>
      </c>
      <c r="D16" s="1011" t="s">
        <v>65</v>
      </c>
    </row>
    <row r="17" spans="2:4" ht="15.5" x14ac:dyDescent="0.25">
      <c r="B17" s="117">
        <f t="shared" si="0"/>
        <v>9</v>
      </c>
      <c r="C17" s="118" t="s">
        <v>62</v>
      </c>
      <c r="D17" s="1011" t="s">
        <v>355</v>
      </c>
    </row>
    <row r="18" spans="2:4" ht="15.5" x14ac:dyDescent="0.25">
      <c r="B18" s="117">
        <f t="shared" si="0"/>
        <v>10</v>
      </c>
      <c r="C18" s="116" t="s">
        <v>64</v>
      </c>
      <c r="D18" s="1011" t="s">
        <v>388</v>
      </c>
    </row>
    <row r="19" spans="2:4" ht="15.5" x14ac:dyDescent="0.25">
      <c r="B19" s="117">
        <f t="shared" si="0"/>
        <v>11</v>
      </c>
      <c r="C19" s="118" t="s">
        <v>66</v>
      </c>
      <c r="D19" s="1011" t="s">
        <v>41</v>
      </c>
    </row>
    <row r="20" spans="2:4" ht="15.5" x14ac:dyDescent="0.25">
      <c r="B20" s="117">
        <f t="shared" si="0"/>
        <v>12</v>
      </c>
      <c r="C20" s="118" t="s">
        <v>650</v>
      </c>
      <c r="D20" s="1011" t="s">
        <v>67</v>
      </c>
    </row>
    <row r="21" spans="2:4" ht="15.5" x14ac:dyDescent="0.25">
      <c r="B21" s="117">
        <f t="shared" si="0"/>
        <v>13</v>
      </c>
      <c r="C21" s="118" t="s">
        <v>180</v>
      </c>
      <c r="D21" s="1011" t="s">
        <v>68</v>
      </c>
    </row>
    <row r="22" spans="2:4" ht="15.5" x14ac:dyDescent="0.25">
      <c r="B22" s="117">
        <f t="shared" si="0"/>
        <v>14</v>
      </c>
      <c r="C22" s="118" t="s">
        <v>648</v>
      </c>
      <c r="D22" s="1011" t="s">
        <v>69</v>
      </c>
    </row>
    <row r="23" spans="2:4" ht="15.5" x14ac:dyDescent="0.25">
      <c r="B23" s="117">
        <f t="shared" si="0"/>
        <v>15</v>
      </c>
      <c r="C23" s="116" t="s">
        <v>649</v>
      </c>
      <c r="D23" s="1011" t="s">
        <v>70</v>
      </c>
    </row>
    <row r="24" spans="2:4" ht="15.5" x14ac:dyDescent="0.25">
      <c r="B24" s="117">
        <f t="shared" si="0"/>
        <v>16</v>
      </c>
      <c r="C24" s="116" t="s">
        <v>481</v>
      </c>
      <c r="D24" s="1011" t="s">
        <v>42</v>
      </c>
    </row>
    <row r="25" spans="2:4" ht="15.5" x14ac:dyDescent="0.25">
      <c r="B25" s="117">
        <f t="shared" si="0"/>
        <v>17</v>
      </c>
      <c r="C25" s="116" t="s">
        <v>14</v>
      </c>
      <c r="D25" s="1011" t="s">
        <v>395</v>
      </c>
    </row>
    <row r="26" spans="2:4" ht="15.5" x14ac:dyDescent="0.25">
      <c r="B26" s="117">
        <f t="shared" si="0"/>
        <v>18</v>
      </c>
      <c r="C26" s="116" t="s">
        <v>310</v>
      </c>
      <c r="D26" s="1011" t="s">
        <v>396</v>
      </c>
    </row>
    <row r="27" spans="2:4" ht="15.5" x14ac:dyDescent="0.25">
      <c r="B27" s="117">
        <f t="shared" si="0"/>
        <v>19</v>
      </c>
      <c r="C27" s="116" t="s">
        <v>49</v>
      </c>
      <c r="D27" s="1011" t="s">
        <v>482</v>
      </c>
    </row>
    <row r="28" spans="2:4" ht="15.5" x14ac:dyDescent="0.25">
      <c r="B28" s="117">
        <f t="shared" si="0"/>
        <v>20</v>
      </c>
      <c r="C28" s="116" t="s">
        <v>1537</v>
      </c>
      <c r="D28" s="1011" t="s">
        <v>71</v>
      </c>
    </row>
    <row r="29" spans="2:4" ht="46.5" x14ac:dyDescent="0.25">
      <c r="B29" s="117">
        <f t="shared" si="0"/>
        <v>21</v>
      </c>
      <c r="C29" s="1012" t="s">
        <v>1538</v>
      </c>
      <c r="D29" s="1011" t="s">
        <v>1539</v>
      </c>
    </row>
    <row r="30" spans="2:4" ht="15.5" x14ac:dyDescent="0.25">
      <c r="B30" s="117">
        <f t="shared" si="0"/>
        <v>22</v>
      </c>
      <c r="C30" s="116" t="s">
        <v>1540</v>
      </c>
      <c r="D30" s="1011" t="s">
        <v>1541</v>
      </c>
    </row>
    <row r="31" spans="2:4" ht="15.5" x14ac:dyDescent="0.25">
      <c r="B31" s="117">
        <f t="shared" si="0"/>
        <v>23</v>
      </c>
      <c r="C31" s="118" t="s">
        <v>34</v>
      </c>
      <c r="D31" s="1011" t="s">
        <v>72</v>
      </c>
    </row>
    <row r="32" spans="2:4" ht="15.5" x14ac:dyDescent="0.25">
      <c r="B32" s="117">
        <f t="shared" si="0"/>
        <v>24</v>
      </c>
      <c r="C32" s="116" t="s">
        <v>43</v>
      </c>
      <c r="D32" s="1011" t="s">
        <v>74</v>
      </c>
    </row>
    <row r="33" spans="2:4" ht="15.5" x14ac:dyDescent="0.25">
      <c r="B33" s="117">
        <f t="shared" si="0"/>
        <v>25</v>
      </c>
      <c r="C33" s="116" t="s">
        <v>73</v>
      </c>
      <c r="D33" s="1011" t="s">
        <v>75</v>
      </c>
    </row>
    <row r="34" spans="2:4" ht="15.5" x14ac:dyDescent="0.25">
      <c r="B34" s="117">
        <f t="shared" si="0"/>
        <v>26</v>
      </c>
      <c r="C34" s="118" t="s">
        <v>673</v>
      </c>
      <c r="D34" s="1011" t="s">
        <v>76</v>
      </c>
    </row>
    <row r="35" spans="2:4" ht="15.5" x14ac:dyDescent="0.25">
      <c r="B35" s="117">
        <f t="shared" si="0"/>
        <v>27</v>
      </c>
      <c r="C35" s="217" t="s">
        <v>439</v>
      </c>
      <c r="D35" s="1011" t="s">
        <v>311</v>
      </c>
    </row>
    <row r="36" spans="2:4" ht="15.5" x14ac:dyDescent="0.25">
      <c r="B36" s="117">
        <f t="shared" si="0"/>
        <v>28</v>
      </c>
      <c r="C36" s="118" t="s">
        <v>313</v>
      </c>
      <c r="D36" s="1011" t="s">
        <v>312</v>
      </c>
    </row>
    <row r="37" spans="2:4" ht="15.5" x14ac:dyDescent="0.25">
      <c r="B37" s="117">
        <f t="shared" si="0"/>
        <v>29</v>
      </c>
      <c r="C37" s="116" t="s">
        <v>445</v>
      </c>
      <c r="D37" s="1011" t="s">
        <v>438</v>
      </c>
    </row>
    <row r="38" spans="2:4" ht="15.5" x14ac:dyDescent="0.25">
      <c r="B38" s="117">
        <f t="shared" si="0"/>
        <v>30</v>
      </c>
      <c r="C38" s="116" t="s">
        <v>322</v>
      </c>
      <c r="D38" s="1011" t="s">
        <v>77</v>
      </c>
    </row>
    <row r="39" spans="2:4" ht="15.5" x14ac:dyDescent="0.25">
      <c r="B39" s="117">
        <f t="shared" si="0"/>
        <v>31</v>
      </c>
      <c r="C39" s="116" t="s">
        <v>314</v>
      </c>
      <c r="D39" s="1011" t="s">
        <v>78</v>
      </c>
    </row>
    <row r="40" spans="2:4" ht="15.5" x14ac:dyDescent="0.25">
      <c r="B40" s="117">
        <f t="shared" si="0"/>
        <v>32</v>
      </c>
      <c r="C40" s="116" t="s">
        <v>90</v>
      </c>
      <c r="D40" s="1011" t="s">
        <v>323</v>
      </c>
    </row>
    <row r="41" spans="2:4" ht="15.5" x14ac:dyDescent="0.25">
      <c r="B41" s="117">
        <f t="shared" si="0"/>
        <v>33</v>
      </c>
      <c r="C41" s="116" t="s">
        <v>315</v>
      </c>
      <c r="D41" s="1011" t="s">
        <v>349</v>
      </c>
    </row>
    <row r="42" spans="2:4" ht="15.5" x14ac:dyDescent="0.25">
      <c r="B42" s="1013"/>
      <c r="C42" s="1014" t="s">
        <v>1542</v>
      </c>
      <c r="D42" s="1015"/>
    </row>
    <row r="43" spans="2:4" ht="15.5" x14ac:dyDescent="0.25">
      <c r="B43" s="117">
        <f>B41+1</f>
        <v>34</v>
      </c>
      <c r="C43" s="116" t="s">
        <v>1543</v>
      </c>
      <c r="D43" s="1011" t="s">
        <v>1544</v>
      </c>
    </row>
    <row r="44" spans="2:4" ht="15.5" x14ac:dyDescent="0.25">
      <c r="B44" s="117">
        <f>B43+1</f>
        <v>35</v>
      </c>
      <c r="C44" s="116" t="s">
        <v>1545</v>
      </c>
      <c r="D44" s="1011" t="s">
        <v>1546</v>
      </c>
    </row>
    <row r="45" spans="2:4" ht="15.5" x14ac:dyDescent="0.25">
      <c r="B45" s="117">
        <f>B44+1</f>
        <v>36</v>
      </c>
      <c r="C45" s="116" t="s">
        <v>1547</v>
      </c>
      <c r="D45" s="1011" t="s">
        <v>1548</v>
      </c>
    </row>
    <row r="46" spans="2:4" ht="15.5" x14ac:dyDescent="0.25">
      <c r="B46" s="117">
        <f t="shared" ref="B46:B55" si="1">B45+1</f>
        <v>37</v>
      </c>
      <c r="C46" s="116" t="s">
        <v>1549</v>
      </c>
      <c r="D46" s="1011" t="s">
        <v>1550</v>
      </c>
    </row>
    <row r="47" spans="2:4" ht="15.5" x14ac:dyDescent="0.25">
      <c r="B47" s="117">
        <f t="shared" si="1"/>
        <v>38</v>
      </c>
      <c r="C47" s="116" t="s">
        <v>1551</v>
      </c>
      <c r="D47" s="1011" t="s">
        <v>1552</v>
      </c>
    </row>
    <row r="48" spans="2:4" ht="15.5" x14ac:dyDescent="0.25">
      <c r="B48" s="117">
        <f t="shared" si="1"/>
        <v>39</v>
      </c>
      <c r="C48" s="116" t="s">
        <v>1553</v>
      </c>
      <c r="D48" s="1011" t="s">
        <v>1554</v>
      </c>
    </row>
    <row r="49" spans="2:4" ht="15.5" x14ac:dyDescent="0.25">
      <c r="B49" s="117">
        <f t="shared" si="1"/>
        <v>40</v>
      </c>
      <c r="C49" s="116" t="s">
        <v>1555</v>
      </c>
      <c r="D49" s="1011" t="s">
        <v>1556</v>
      </c>
    </row>
    <row r="50" spans="2:4" ht="15.5" x14ac:dyDescent="0.25">
      <c r="B50" s="117">
        <f t="shared" si="1"/>
        <v>41</v>
      </c>
      <c r="C50" s="116" t="s">
        <v>1557</v>
      </c>
      <c r="D50" s="1011" t="s">
        <v>1558</v>
      </c>
    </row>
    <row r="51" spans="2:4" ht="15.5" x14ac:dyDescent="0.25">
      <c r="B51" s="117">
        <f t="shared" si="1"/>
        <v>42</v>
      </c>
      <c r="C51" s="116" t="s">
        <v>1559</v>
      </c>
      <c r="D51" s="1011" t="s">
        <v>1560</v>
      </c>
    </row>
    <row r="52" spans="2:4" ht="15.5" x14ac:dyDescent="0.25">
      <c r="B52" s="117">
        <f t="shared" si="1"/>
        <v>43</v>
      </c>
      <c r="C52" s="279" t="s">
        <v>1561</v>
      </c>
      <c r="D52" s="280" t="s">
        <v>1562</v>
      </c>
    </row>
    <row r="53" spans="2:4" ht="15.5" x14ac:dyDescent="0.25">
      <c r="B53" s="117">
        <f t="shared" si="1"/>
        <v>44</v>
      </c>
      <c r="C53" s="279" t="s">
        <v>1563</v>
      </c>
      <c r="D53" s="280" t="s">
        <v>1564</v>
      </c>
    </row>
    <row r="54" spans="2:4" ht="15.5" x14ac:dyDescent="0.25">
      <c r="B54" s="117">
        <f t="shared" si="1"/>
        <v>45</v>
      </c>
      <c r="C54" s="279" t="s">
        <v>554</v>
      </c>
      <c r="D54" s="280" t="s">
        <v>555</v>
      </c>
    </row>
    <row r="55" spans="2:4" ht="15.5" x14ac:dyDescent="0.25">
      <c r="B55" s="1016">
        <f t="shared" si="1"/>
        <v>46</v>
      </c>
      <c r="C55" s="1017" t="s">
        <v>626</v>
      </c>
      <c r="D55" s="1018" t="s">
        <v>1565</v>
      </c>
    </row>
    <row r="56" spans="2:4" ht="15.5" x14ac:dyDescent="0.25">
      <c r="B56" s="117">
        <f>B55+1</f>
        <v>47</v>
      </c>
      <c r="C56" s="279" t="s">
        <v>1566</v>
      </c>
      <c r="D56" s="280" t="s">
        <v>1567</v>
      </c>
    </row>
    <row r="57" spans="2:4" x14ac:dyDescent="0.25">
      <c r="B57" s="94">
        <v>48</v>
      </c>
      <c r="C57" s="24" t="s">
        <v>1568</v>
      </c>
      <c r="D57" s="24" t="s">
        <v>1569</v>
      </c>
    </row>
    <row r="58" spans="2:4" x14ac:dyDescent="0.25">
      <c r="B58" s="281" t="s">
        <v>1570</v>
      </c>
    </row>
  </sheetData>
  <mergeCells count="5">
    <mergeCell ref="B2:D2"/>
    <mergeCell ref="B3:D3"/>
    <mergeCell ref="B6:B8"/>
    <mergeCell ref="C6:C8"/>
    <mergeCell ref="D6:D8"/>
  </mergeCells>
  <phoneticPr fontId="20" type="noConversion"/>
  <pageMargins left="0.55000000000000004" right="0.23622047244094491" top="1.1023622047244095" bottom="0.98425196850393704" header="0.23622047244094491" footer="0.23622047244094491"/>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7"/>
  <sheetViews>
    <sheetView showGridLines="0" zoomScale="80" zoomScaleNormal="80" workbookViewId="0">
      <selection activeCell="H44" sqref="H44"/>
    </sheetView>
  </sheetViews>
  <sheetFormatPr defaultColWidth="8.81640625" defaultRowHeight="13" x14ac:dyDescent="0.3"/>
  <cols>
    <col min="1" max="1" width="8.81640625" style="491"/>
    <col min="2" max="2" width="46.453125" style="492" customWidth="1"/>
    <col min="3" max="3" width="8.81640625" style="491"/>
    <col min="4" max="4" width="9" style="491" bestFit="1" customWidth="1"/>
    <col min="5" max="8" width="8.81640625" style="491"/>
    <col min="9" max="9" width="12.81640625" style="491" customWidth="1"/>
    <col min="10" max="10" width="14.1796875" style="491" customWidth="1"/>
    <col min="11" max="11" width="12.36328125" style="491" customWidth="1"/>
    <col min="12" max="12" width="8.81640625" style="491"/>
    <col min="13" max="13" width="13.90625" style="491" customWidth="1"/>
    <col min="14" max="14" width="14.08984375" style="491" customWidth="1"/>
    <col min="15" max="15" width="13.90625" style="491" customWidth="1"/>
    <col min="16" max="16" width="16.08984375" style="491" customWidth="1"/>
    <col min="17" max="16384" width="8.81640625" style="491"/>
  </cols>
  <sheetData>
    <row r="1" spans="2:7" x14ac:dyDescent="0.3">
      <c r="B1" s="1592" t="s">
        <v>927</v>
      </c>
      <c r="C1" s="1592"/>
      <c r="D1" s="1592"/>
      <c r="E1" s="1592"/>
      <c r="F1" s="1592"/>
    </row>
    <row r="2" spans="2:7" x14ac:dyDescent="0.3">
      <c r="B2" s="731" t="s">
        <v>38</v>
      </c>
      <c r="C2" s="732" t="s">
        <v>923</v>
      </c>
      <c r="D2" s="732" t="s">
        <v>924</v>
      </c>
      <c r="E2" s="732" t="s">
        <v>925</v>
      </c>
      <c r="F2" s="732" t="s">
        <v>926</v>
      </c>
      <c r="G2" s="727"/>
    </row>
    <row r="3" spans="2:7" x14ac:dyDescent="0.3">
      <c r="B3" s="493" t="s">
        <v>917</v>
      </c>
      <c r="C3" s="728" t="s">
        <v>100</v>
      </c>
      <c r="D3" s="591">
        <f>'F2.1'!G15</f>
        <v>0.8</v>
      </c>
      <c r="E3" s="591">
        <f>'F2.1'!$J$15</f>
        <v>0.8</v>
      </c>
      <c r="F3" s="591">
        <f>'F2.1'!$N$15</f>
        <v>0.8</v>
      </c>
      <c r="G3" s="727"/>
    </row>
    <row r="4" spans="2:7" x14ac:dyDescent="0.3">
      <c r="B4" s="493" t="s">
        <v>682</v>
      </c>
      <c r="C4" s="728" t="s">
        <v>100</v>
      </c>
      <c r="D4" s="591">
        <f>'F2.1'!$G$16</f>
        <v>0.56784999999999997</v>
      </c>
      <c r="E4" s="591">
        <f>'F2.1'!$K$16</f>
        <v>0.62078</v>
      </c>
      <c r="F4" s="591">
        <f>'F2.1'!$Q$16</f>
        <v>0.67519300587732012</v>
      </c>
      <c r="G4" s="727"/>
    </row>
    <row r="5" spans="2:7" x14ac:dyDescent="0.3">
      <c r="B5" s="494" t="s">
        <v>918</v>
      </c>
      <c r="C5" s="728" t="s">
        <v>441</v>
      </c>
      <c r="D5" s="1112">
        <f>'F1'!$F13+'F1'!$G15+'F1'!$F16+'F1'!$G17+'F1'!$G18+'F1'!$F19+'F1'!$F21+'F1'!$G24+'F1'!$G25-'F1'!$G26</f>
        <v>157.53396274164254</v>
      </c>
      <c r="E5" s="1112">
        <f>'F1'!$J13+'F1'!$K15+'F1'!$J16+'F1'!$K17+'F1'!$K18+'F1'!$J19+'F1'!$J21+'F1'!$K24+'F1'!$K25-'F1'!$K26</f>
        <v>180.16332247242531</v>
      </c>
      <c r="F5" s="1112">
        <f ca="1">'F1'!$N13+'F1'!$Q15+'F1'!$N16+'F1'!$Q17+'F1'!$Q18+'F1'!$N19+'F1'!$N21+'F1'!$Q24+'F1'!$Q25-'F1'!$Q26</f>
        <v>191.5257620993049</v>
      </c>
      <c r="G5" s="727"/>
    </row>
    <row r="6" spans="2:7" x14ac:dyDescent="0.3">
      <c r="B6" s="494" t="s">
        <v>919</v>
      </c>
      <c r="C6" s="728" t="s">
        <v>441</v>
      </c>
      <c r="D6" s="590">
        <f>'F3.1'!E27</f>
        <v>13.852178556644459</v>
      </c>
      <c r="E6" s="590">
        <f>'F3.1'!G27</f>
        <v>16.338128639991467</v>
      </c>
      <c r="F6" s="590">
        <f>'F3.1'!I27</f>
        <v>16.338128639991467</v>
      </c>
      <c r="G6" s="727"/>
    </row>
    <row r="7" spans="2:7" x14ac:dyDescent="0.3">
      <c r="B7" s="494" t="s">
        <v>1057</v>
      </c>
      <c r="C7" s="728" t="s">
        <v>441</v>
      </c>
      <c r="D7" s="590">
        <f>D5-D6</f>
        <v>143.68178418499809</v>
      </c>
      <c r="E7" s="590">
        <f>E5-E6</f>
        <v>163.82519383243385</v>
      </c>
      <c r="F7" s="590">
        <f ca="1">F5-F6</f>
        <v>175.18763345931342</v>
      </c>
      <c r="G7" s="727"/>
    </row>
    <row r="8" spans="2:7" x14ac:dyDescent="0.3">
      <c r="B8" s="496" t="s">
        <v>920</v>
      </c>
      <c r="C8" s="726" t="s">
        <v>441</v>
      </c>
      <c r="D8" s="729">
        <f>D48</f>
        <v>41.700764224012005</v>
      </c>
      <c r="E8" s="729">
        <f>E48</f>
        <v>36.776298637473928</v>
      </c>
      <c r="F8" s="729">
        <f ca="1">F48</f>
        <v>6.1430091133862845</v>
      </c>
      <c r="G8" s="727"/>
    </row>
    <row r="9" spans="2:7" x14ac:dyDescent="0.3">
      <c r="B9" s="494" t="s">
        <v>921</v>
      </c>
      <c r="C9" s="728" t="s">
        <v>441</v>
      </c>
      <c r="D9" s="590">
        <f>D7-D8</f>
        <v>101.98101996098609</v>
      </c>
      <c r="E9" s="590">
        <f>E7-E8</f>
        <v>127.04889519495993</v>
      </c>
      <c r="F9" s="590">
        <f ca="1">F7-F8</f>
        <v>169.04462434592713</v>
      </c>
      <c r="G9" s="727"/>
    </row>
    <row r="10" spans="2:7" x14ac:dyDescent="0.3">
      <c r="B10" s="496" t="s">
        <v>922</v>
      </c>
      <c r="C10" s="726" t="s">
        <v>441</v>
      </c>
      <c r="D10" s="729">
        <f>D9+D6</f>
        <v>115.83319851763055</v>
      </c>
      <c r="E10" s="729">
        <f t="shared" ref="E10:F10" si="0">E9+E6</f>
        <v>143.38702383495138</v>
      </c>
      <c r="F10" s="729">
        <f t="shared" ca="1" si="0"/>
        <v>185.38275298591861</v>
      </c>
      <c r="G10" s="727"/>
    </row>
    <row r="11" spans="2:7" x14ac:dyDescent="0.3">
      <c r="B11" s="730"/>
      <c r="C11" s="727"/>
      <c r="D11" s="1043"/>
      <c r="E11" s="1043"/>
      <c r="F11" s="1043"/>
      <c r="G11" s="727"/>
    </row>
    <row r="12" spans="2:7" x14ac:dyDescent="0.3">
      <c r="B12" s="497" t="s">
        <v>1064</v>
      </c>
      <c r="D12" s="1044"/>
      <c r="E12" s="1044"/>
      <c r="F12" s="1044"/>
    </row>
    <row r="13" spans="2:7" x14ac:dyDescent="0.3">
      <c r="B13" s="721" t="s">
        <v>1060</v>
      </c>
      <c r="C13" s="495" t="s">
        <v>100</v>
      </c>
      <c r="D13" s="634">
        <v>0.61107</v>
      </c>
      <c r="E13" s="634">
        <v>0.78910999999999998</v>
      </c>
      <c r="F13" s="634">
        <v>0.82684999999999997</v>
      </c>
    </row>
    <row r="14" spans="2:7" x14ac:dyDescent="0.3">
      <c r="B14" s="721" t="s">
        <v>1061</v>
      </c>
      <c r="C14" s="495" t="s">
        <v>100</v>
      </c>
      <c r="D14" s="634">
        <v>0.61043999999999998</v>
      </c>
      <c r="E14" s="634">
        <v>0.79518999999999995</v>
      </c>
      <c r="F14" s="634">
        <v>0.80140499999999992</v>
      </c>
    </row>
    <row r="15" spans="2:7" x14ac:dyDescent="0.3">
      <c r="B15" s="721" t="s">
        <v>1062</v>
      </c>
      <c r="C15" s="495" t="s">
        <v>100</v>
      </c>
      <c r="D15" s="634">
        <v>0.55110999999999999</v>
      </c>
      <c r="E15" s="634">
        <v>0.56247000000000003</v>
      </c>
      <c r="F15" s="634">
        <v>0.770285</v>
      </c>
    </row>
    <row r="16" spans="2:7" x14ac:dyDescent="0.3">
      <c r="B16" s="721" t="s">
        <v>1063</v>
      </c>
      <c r="C16" s="495" t="s">
        <v>100</v>
      </c>
      <c r="D16" s="634">
        <v>0.55418000000000001</v>
      </c>
      <c r="E16" s="634">
        <v>0.56257999999999997</v>
      </c>
      <c r="F16" s="634">
        <v>0.76067499999999999</v>
      </c>
    </row>
    <row r="18" spans="2:6" x14ac:dyDescent="0.3">
      <c r="B18" s="722" t="s">
        <v>1130</v>
      </c>
    </row>
    <row r="19" spans="2:6" x14ac:dyDescent="0.3">
      <c r="B19" s="721" t="s">
        <v>1131</v>
      </c>
      <c r="C19" s="632" t="s">
        <v>441</v>
      </c>
      <c r="D19" s="1045">
        <f>D7*1/4*20%</f>
        <v>7.1840892092499047</v>
      </c>
      <c r="E19" s="1045">
        <f>E7*1/4*20%</f>
        <v>8.1912596916216938</v>
      </c>
      <c r="F19" s="1045">
        <f ca="1">F7*1/4*20%</f>
        <v>8.7593816729656719</v>
      </c>
    </row>
    <row r="20" spans="2:6" x14ac:dyDescent="0.3">
      <c r="B20" s="721" t="s">
        <v>1132</v>
      </c>
      <c r="C20" s="632" t="s">
        <v>441</v>
      </c>
      <c r="D20" s="769">
        <f>D7*1/4*80%</f>
        <v>28.736356836999619</v>
      </c>
      <c r="E20" s="769">
        <f t="shared" ref="E20" si="1">E7*1/4*80%</f>
        <v>32.765038766486775</v>
      </c>
      <c r="F20" s="769">
        <f t="shared" ref="F20" ca="1" si="2">F7*1/4*80%</f>
        <v>35.037526691862688</v>
      </c>
    </row>
    <row r="21" spans="2:6" x14ac:dyDescent="0.3">
      <c r="B21" s="721" t="s">
        <v>1133</v>
      </c>
      <c r="C21" s="632" t="s">
        <v>441</v>
      </c>
      <c r="D21" s="1045">
        <f>D7*3/4*20%</f>
        <v>21.552267627749714</v>
      </c>
      <c r="E21" s="1045">
        <f t="shared" ref="E21" si="3">E7*3/4*20%</f>
        <v>24.57377907486508</v>
      </c>
      <c r="F21" s="1045">
        <f t="shared" ref="F21" ca="1" si="4">F7*3/4*20%</f>
        <v>26.27814501889701</v>
      </c>
    </row>
    <row r="22" spans="2:6" x14ac:dyDescent="0.3">
      <c r="B22" s="721" t="s">
        <v>1134</v>
      </c>
      <c r="C22" s="632" t="s">
        <v>441</v>
      </c>
      <c r="D22" s="769">
        <f>D7*3/4*80%</f>
        <v>86.209070510998856</v>
      </c>
      <c r="E22" s="769">
        <f t="shared" ref="E22" si="5">E7*3/4*80%</f>
        <v>98.295116299460318</v>
      </c>
      <c r="F22" s="769">
        <f t="shared" ref="F22" ca="1" si="6">F7*3/4*80%</f>
        <v>105.11258007558804</v>
      </c>
    </row>
    <row r="23" spans="2:6" x14ac:dyDescent="0.3">
      <c r="B23" s="723"/>
      <c r="C23" s="632"/>
      <c r="D23" s="769"/>
      <c r="E23" s="769"/>
      <c r="F23" s="769"/>
    </row>
    <row r="24" spans="2:6" ht="26" x14ac:dyDescent="0.3">
      <c r="B24" s="724" t="s">
        <v>1135</v>
      </c>
      <c r="C24" s="632"/>
      <c r="D24" s="769"/>
      <c r="E24" s="769"/>
      <c r="F24" s="769"/>
    </row>
    <row r="25" spans="2:6" x14ac:dyDescent="0.3">
      <c r="B25" s="721" t="s">
        <v>1131</v>
      </c>
      <c r="C25" s="632" t="s">
        <v>441</v>
      </c>
      <c r="D25" s="590">
        <f>MIN(D13/$D$3,1)*D19</f>
        <v>5.4874767413704237</v>
      </c>
      <c r="E25" s="590">
        <f t="shared" ref="E25:E28" si="7">MIN(E13/$E$3,1)*E19</f>
        <v>8.0797561690694923</v>
      </c>
      <c r="F25" s="590">
        <f ca="1">MIN(F13/$F$3,1)*F19</f>
        <v>8.7593816729656719</v>
      </c>
    </row>
    <row r="26" spans="2:6" x14ac:dyDescent="0.3">
      <c r="B26" s="721" t="s">
        <v>1132</v>
      </c>
      <c r="C26" s="632" t="s">
        <v>441</v>
      </c>
      <c r="D26" s="590">
        <f t="shared" ref="D26:D28" si="8">MIN(D14/$D$3,1)*D20</f>
        <v>21.927277084472557</v>
      </c>
      <c r="E26" s="590">
        <f t="shared" si="7"/>
        <v>32.568038970903274</v>
      </c>
      <c r="F26" s="590">
        <f ca="1">MIN(F14/$F$3,1)*F20</f>
        <v>35.037526691862688</v>
      </c>
    </row>
    <row r="27" spans="2:6" x14ac:dyDescent="0.3">
      <c r="B27" s="721" t="s">
        <v>1133</v>
      </c>
      <c r="C27" s="632" t="s">
        <v>441</v>
      </c>
      <c r="D27" s="590">
        <f t="shared" si="8"/>
        <v>14.84708776541143</v>
      </c>
      <c r="E27" s="590">
        <f t="shared" si="7"/>
        <v>17.2775168952992</v>
      </c>
      <c r="F27" s="590">
        <f ca="1">MIN(F15/$F$3,1)*F21</f>
        <v>25.302076169851354</v>
      </c>
    </row>
    <row r="28" spans="2:6" x14ac:dyDescent="0.3">
      <c r="B28" s="721" t="s">
        <v>1134</v>
      </c>
      <c r="C28" s="632" t="s">
        <v>441</v>
      </c>
      <c r="D28" s="590">
        <f t="shared" si="8"/>
        <v>59.719178369731679</v>
      </c>
      <c r="E28" s="590">
        <f t="shared" si="7"/>
        <v>69.123583159687968</v>
      </c>
      <c r="F28" s="590">
        <f ca="1">MIN(F16/$F$3,1)*F22</f>
        <v>99.945639811247418</v>
      </c>
    </row>
    <row r="29" spans="2:6" x14ac:dyDescent="0.3">
      <c r="B29" s="725"/>
      <c r="C29" s="633"/>
      <c r="D29" s="768"/>
      <c r="E29" s="768"/>
      <c r="F29" s="768"/>
    </row>
    <row r="30" spans="2:6" x14ac:dyDescent="0.3">
      <c r="B30" s="724" t="s">
        <v>1136</v>
      </c>
      <c r="C30" s="632"/>
      <c r="D30" s="769"/>
      <c r="E30" s="769"/>
      <c r="F30" s="769"/>
    </row>
    <row r="31" spans="2:6" x14ac:dyDescent="0.3">
      <c r="B31" s="721" t="s">
        <v>1131</v>
      </c>
      <c r="C31" s="632" t="s">
        <v>441</v>
      </c>
      <c r="D31" s="769"/>
      <c r="E31" s="769"/>
      <c r="F31" s="769"/>
    </row>
    <row r="32" spans="2:6" x14ac:dyDescent="0.3">
      <c r="B32" s="721" t="s">
        <v>1132</v>
      </c>
      <c r="C32" s="632" t="s">
        <v>441</v>
      </c>
      <c r="D32" s="769">
        <f>D26-D20</f>
        <v>-6.8090797525270617</v>
      </c>
      <c r="E32" s="769">
        <f t="shared" ref="E32" si="9">E26-E20</f>
        <v>-0.19699979558350122</v>
      </c>
      <c r="F32" s="769">
        <f ca="1">F26-F20</f>
        <v>0</v>
      </c>
    </row>
    <row r="33" spans="2:16" x14ac:dyDescent="0.3">
      <c r="B33" s="721" t="s">
        <v>1133</v>
      </c>
      <c r="C33" s="632" t="s">
        <v>441</v>
      </c>
      <c r="D33" s="769"/>
      <c r="E33" s="769"/>
      <c r="F33" s="769"/>
    </row>
    <row r="34" spans="2:16" x14ac:dyDescent="0.3">
      <c r="B34" s="721" t="s">
        <v>1134</v>
      </c>
      <c r="C34" s="632" t="s">
        <v>441</v>
      </c>
      <c r="D34" s="769">
        <f>D28-D22</f>
        <v>-26.489892141267177</v>
      </c>
      <c r="E34" s="769">
        <f>E28-E22</f>
        <v>-29.17153313977235</v>
      </c>
      <c r="F34" s="769">
        <f ca="1">F28-F22</f>
        <v>-5.1669402643406244</v>
      </c>
    </row>
    <row r="35" spans="2:16" x14ac:dyDescent="0.3">
      <c r="B35" s="723"/>
      <c r="C35" s="632"/>
      <c r="D35" s="769"/>
      <c r="E35" s="769"/>
      <c r="F35" s="769"/>
    </row>
    <row r="36" spans="2:16" x14ac:dyDescent="0.3">
      <c r="B36" s="724" t="s">
        <v>1137</v>
      </c>
      <c r="C36" s="632"/>
      <c r="D36" s="769"/>
      <c r="E36" s="769"/>
      <c r="F36" s="769"/>
    </row>
    <row r="37" spans="2:16" x14ac:dyDescent="0.3">
      <c r="B37" s="723" t="s">
        <v>1131</v>
      </c>
      <c r="C37" s="632" t="s">
        <v>441</v>
      </c>
      <c r="D37" s="769">
        <f>D13/D3*D19-D25</f>
        <v>0</v>
      </c>
      <c r="E37" s="769">
        <f t="shared" ref="E37" si="10">E13/E3*E19-E25</f>
        <v>0</v>
      </c>
      <c r="F37" s="769">
        <f t="shared" ref="F37" ca="1" si="11">F13/F3*F19-F25</f>
        <v>0.29398674739890929</v>
      </c>
    </row>
    <row r="38" spans="2:16" x14ac:dyDescent="0.3">
      <c r="B38" s="723" t="s">
        <v>1132</v>
      </c>
      <c r="C38" s="632" t="s">
        <v>441</v>
      </c>
      <c r="D38" s="769"/>
      <c r="E38" s="769"/>
      <c r="F38" s="769"/>
    </row>
    <row r="39" spans="2:16" x14ac:dyDescent="0.3">
      <c r="B39" s="723" t="s">
        <v>1133</v>
      </c>
      <c r="C39" s="632" t="s">
        <v>441</v>
      </c>
      <c r="D39" s="769">
        <f>D15/D3*D21-D27</f>
        <v>0</v>
      </c>
      <c r="E39" s="769">
        <f t="shared" ref="E39" si="12">E15/E3*E21-E27</f>
        <v>0</v>
      </c>
      <c r="F39" s="769">
        <f t="shared" ref="F39" ca="1" si="13">F15/F3*F21-F27</f>
        <v>0</v>
      </c>
    </row>
    <row r="40" spans="2:16" x14ac:dyDescent="0.3">
      <c r="B40" s="723" t="s">
        <v>1134</v>
      </c>
      <c r="C40" s="632" t="s">
        <v>441</v>
      </c>
      <c r="D40" s="769"/>
      <c r="E40" s="769"/>
      <c r="F40" s="769"/>
    </row>
    <row r="41" spans="2:16" x14ac:dyDescent="0.3">
      <c r="B41" s="723"/>
      <c r="C41" s="632"/>
      <c r="D41" s="769"/>
      <c r="E41" s="769"/>
      <c r="F41" s="769"/>
    </row>
    <row r="42" spans="2:16" x14ac:dyDescent="0.3">
      <c r="B42" s="724" t="s">
        <v>1138</v>
      </c>
      <c r="C42" s="632"/>
      <c r="D42" s="769"/>
      <c r="E42" s="769"/>
      <c r="F42" s="769"/>
    </row>
    <row r="43" spans="2:16" x14ac:dyDescent="0.3">
      <c r="B43" s="723" t="s">
        <v>1131</v>
      </c>
      <c r="C43" s="632" t="s">
        <v>441</v>
      </c>
      <c r="D43" s="769"/>
      <c r="E43" s="769"/>
      <c r="F43" s="769"/>
    </row>
    <row r="44" spans="2:16" ht="14" x14ac:dyDescent="0.3">
      <c r="B44" s="723" t="s">
        <v>1132</v>
      </c>
      <c r="C44" s="632" t="s">
        <v>441</v>
      </c>
      <c r="D44" s="769">
        <f>IF(D32&lt;0,MIN(D37,-D32),0)</f>
        <v>0</v>
      </c>
      <c r="E44" s="769">
        <f t="shared" ref="E44" si="14">IF(E32&lt;0,MIN(E37,-E32),0)</f>
        <v>0</v>
      </c>
      <c r="F44" s="769">
        <f t="shared" ref="F44" ca="1" si="15">IF(F32&lt;0,MIN(F37,-F32),0)</f>
        <v>0</v>
      </c>
      <c r="I44" s="180" t="s">
        <v>907</v>
      </c>
      <c r="J44" s="33"/>
      <c r="K44" s="14"/>
      <c r="L44" s="14"/>
      <c r="M44" s="14"/>
      <c r="N44" s="14"/>
      <c r="O44" s="14"/>
      <c r="P44" s="14"/>
    </row>
    <row r="45" spans="2:16" ht="56" x14ac:dyDescent="0.3">
      <c r="B45" s="723" t="s">
        <v>1133</v>
      </c>
      <c r="C45" s="632" t="s">
        <v>441</v>
      </c>
      <c r="D45" s="769"/>
      <c r="E45" s="769"/>
      <c r="F45" s="769"/>
      <c r="I45" s="719" t="s">
        <v>908</v>
      </c>
      <c r="J45" s="720" t="s">
        <v>909</v>
      </c>
      <c r="K45" s="720" t="s">
        <v>910</v>
      </c>
      <c r="L45" s="720" t="s">
        <v>911</v>
      </c>
      <c r="M45" s="720" t="s">
        <v>912</v>
      </c>
      <c r="N45" s="720" t="s">
        <v>913</v>
      </c>
      <c r="O45" s="720" t="s">
        <v>914</v>
      </c>
      <c r="P45" s="720" t="s">
        <v>915</v>
      </c>
    </row>
    <row r="46" spans="2:16" ht="15.5" x14ac:dyDescent="0.3">
      <c r="B46" s="723" t="s">
        <v>1134</v>
      </c>
      <c r="C46" s="632" t="s">
        <v>441</v>
      </c>
      <c r="D46" s="769">
        <f>IF(D34&lt;0,MIN(D39,-D34),0)</f>
        <v>0</v>
      </c>
      <c r="E46" s="769">
        <f t="shared" ref="E46" si="16">IF(E34&lt;0,MIN(E39,-E34),0)</f>
        <v>0</v>
      </c>
      <c r="F46" s="769">
        <f t="shared" ref="F46" ca="1" si="17">IF(F34&lt;0,MIN(F39,-F34),0)</f>
        <v>0</v>
      </c>
      <c r="I46" s="114" t="s">
        <v>543</v>
      </c>
      <c r="J46" s="470">
        <f>'F2.1'!G30</f>
        <v>715.52599999999995</v>
      </c>
      <c r="K46" s="716">
        <f>'F2.1'!F34</f>
        <v>0.1096</v>
      </c>
      <c r="L46" s="553">
        <v>0.14196468197102549</v>
      </c>
      <c r="M46" s="470">
        <f>(L46-K46)*J46</f>
        <v>23.157771431999983</v>
      </c>
      <c r="N46" s="717">
        <f>'F2.2'!F157</f>
        <v>4.8330476601757129</v>
      </c>
      <c r="O46" s="470">
        <f>M46*N46/10</f>
        <v>11.192261303431149</v>
      </c>
      <c r="P46" s="718">
        <f>IF(O46&lt;0,2/3,1/3)*O46</f>
        <v>3.7307537678103828</v>
      </c>
    </row>
    <row r="47" spans="2:16" ht="15.5" x14ac:dyDescent="0.3">
      <c r="B47" s="723"/>
      <c r="C47" s="632"/>
      <c r="D47" s="769"/>
      <c r="E47" s="769"/>
      <c r="F47" s="769"/>
      <c r="I47" s="114" t="s">
        <v>544</v>
      </c>
      <c r="J47" s="470">
        <f>'F2.1'!$K$30</f>
        <v>1016.0400000000002</v>
      </c>
      <c r="K47" s="716">
        <f>'F2.1'!$K$34</f>
        <v>0.1096</v>
      </c>
      <c r="L47" s="553">
        <v>0.13426666272981364</v>
      </c>
      <c r="M47" s="470">
        <f>(L47-K47)*J47</f>
        <v>25.062315999999846</v>
      </c>
      <c r="N47" s="717">
        <f>'F2.2'!J157</f>
        <v>4.5929627899605601</v>
      </c>
      <c r="O47" s="470">
        <f>M47*N47/10</f>
        <v>11.511028481823248</v>
      </c>
      <c r="P47" s="718">
        <f>IF(O47&lt;0,2/3,1/3)*O47</f>
        <v>3.8370094939410824</v>
      </c>
    </row>
    <row r="48" spans="2:16" ht="15.5" x14ac:dyDescent="0.3">
      <c r="B48" s="725" t="s">
        <v>920</v>
      </c>
      <c r="C48" s="632" t="s">
        <v>441</v>
      </c>
      <c r="D48" s="769">
        <f>SUM(D19:D22)-SUM(D25:D28)+SUM(D43:D46)</f>
        <v>41.700764224012005</v>
      </c>
      <c r="E48" s="769">
        <f>SUM(E19:E22)-SUM(E25:E28)+SUM(E43:E46)</f>
        <v>36.776298637473928</v>
      </c>
      <c r="F48" s="769">
        <f ca="1">SUM(F19:F22)-SUM(F25:F28)+SUM(F43:F46)</f>
        <v>6.1430091133862845</v>
      </c>
      <c r="I48" s="114"/>
      <c r="J48" s="470"/>
      <c r="K48" s="716"/>
      <c r="L48" s="553"/>
      <c r="M48" s="470"/>
      <c r="N48" s="717"/>
      <c r="O48" s="470"/>
      <c r="P48" s="718"/>
    </row>
    <row r="49" spans="4:16" ht="14" x14ac:dyDescent="0.3">
      <c r="D49" s="1044"/>
      <c r="E49" s="1044"/>
      <c r="F49" s="1044"/>
      <c r="I49" s="114"/>
      <c r="J49" s="470"/>
      <c r="K49" s="396"/>
      <c r="L49" s="114"/>
      <c r="M49" s="114"/>
      <c r="N49" s="114"/>
      <c r="O49" s="114"/>
      <c r="P49" s="114"/>
    </row>
    <row r="57" spans="4:16" x14ac:dyDescent="0.3">
      <c r="D57" s="749"/>
    </row>
  </sheetData>
  <mergeCells count="1">
    <mergeCell ref="B1:F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Z41"/>
  <sheetViews>
    <sheetView showGridLines="0" zoomScale="60" zoomScaleNormal="60" zoomScaleSheetLayoutView="78" workbookViewId="0">
      <pane xSplit="4" ySplit="9" topLeftCell="E10" activePane="bottomRight" state="frozen"/>
      <selection pane="topRight" activeCell="E1" sqref="E1"/>
      <selection pane="bottomLeft" activeCell="A10" sqref="A10"/>
      <selection pane="bottomRight" activeCell="S28" sqref="S28"/>
    </sheetView>
  </sheetViews>
  <sheetFormatPr defaultColWidth="9.36328125" defaultRowHeight="14" x14ac:dyDescent="0.25"/>
  <cols>
    <col min="1" max="1" width="6.6328125" style="14" customWidth="1"/>
    <col min="2" max="2" width="6.36328125" style="14" customWidth="1"/>
    <col min="3" max="3" width="35.90625" style="14" customWidth="1"/>
    <col min="4" max="6" width="12.54296875" style="14" customWidth="1"/>
    <col min="7" max="7" width="14.6328125" style="14" customWidth="1"/>
    <col min="8" max="10" width="12.54296875" style="14" customWidth="1"/>
    <col min="11" max="11" width="22.36328125" style="14" customWidth="1"/>
    <col min="12" max="13" width="12.54296875" style="14" customWidth="1"/>
    <col min="14" max="14" width="10.6328125" style="14" customWidth="1"/>
    <col min="15" max="15" width="14" style="14" bestFit="1" customWidth="1"/>
    <col min="16" max="16" width="13" style="14" customWidth="1"/>
    <col min="17" max="17" width="15.54296875" style="14" customWidth="1"/>
    <col min="18" max="18" width="19.90625" style="14" customWidth="1"/>
    <col min="19" max="23" width="11.90625" style="14" bestFit="1" customWidth="1"/>
    <col min="24" max="24" width="15.6328125" style="14" customWidth="1"/>
    <col min="25" max="16384" width="9.36328125" style="14"/>
  </cols>
  <sheetData>
    <row r="2" spans="2:26" x14ac:dyDescent="0.25">
      <c r="B2" s="1598" t="str">
        <f>Index!B2</f>
        <v xml:space="preserve">      Maharashtra State Power Generation Company Ltd.</v>
      </c>
      <c r="C2" s="1598"/>
      <c r="D2" s="1598"/>
      <c r="E2" s="1598"/>
      <c r="F2" s="1598"/>
      <c r="G2" s="1598"/>
      <c r="H2" s="1598"/>
      <c r="I2" s="1598"/>
      <c r="J2" s="1598"/>
      <c r="K2" s="1598"/>
      <c r="L2" s="1598"/>
      <c r="M2" s="596"/>
      <c r="N2" s="1598" t="s">
        <v>779</v>
      </c>
      <c r="O2" s="1598"/>
      <c r="P2" s="1598"/>
      <c r="Q2" s="1598"/>
      <c r="R2" s="1598"/>
      <c r="S2" s="1598"/>
      <c r="T2" s="1598"/>
      <c r="U2" s="1598"/>
      <c r="V2" s="1598"/>
      <c r="W2" s="1598"/>
      <c r="X2" s="1598"/>
      <c r="Y2" s="180"/>
      <c r="Z2" s="180"/>
    </row>
    <row r="3" spans="2:26" s="5" customFormat="1" x14ac:dyDescent="0.3">
      <c r="B3" s="1599" t="str">
        <f>Index!B3</f>
        <v>MYT Petition Formats for Bhusawal Unit 3</v>
      </c>
      <c r="C3" s="1599"/>
      <c r="D3" s="1599"/>
      <c r="E3" s="1599"/>
      <c r="F3" s="1599"/>
      <c r="G3" s="1599"/>
      <c r="H3" s="1599"/>
      <c r="I3" s="1599"/>
      <c r="J3" s="1599"/>
      <c r="K3" s="1599"/>
      <c r="L3" s="1599"/>
      <c r="M3" s="595"/>
      <c r="N3" s="1599" t="str">
        <f>Index!B3</f>
        <v>MYT Petition Formats for Bhusawal Unit 3</v>
      </c>
      <c r="O3" s="1599"/>
      <c r="P3" s="1599"/>
      <c r="Q3" s="1599"/>
      <c r="R3" s="1599"/>
      <c r="S3" s="1599"/>
      <c r="T3" s="1599"/>
      <c r="U3" s="1599"/>
      <c r="V3" s="1599"/>
      <c r="W3" s="1599"/>
      <c r="X3" s="1599"/>
      <c r="Y3" s="60"/>
      <c r="Z3" s="60"/>
    </row>
    <row r="4" spans="2:26" s="5" customFormat="1" x14ac:dyDescent="0.3">
      <c r="B4" s="1599" t="s">
        <v>79</v>
      </c>
      <c r="C4" s="1599"/>
      <c r="D4" s="1599"/>
      <c r="E4" s="1599"/>
      <c r="F4" s="1599"/>
      <c r="G4" s="1599"/>
      <c r="H4" s="1599"/>
      <c r="I4" s="1599"/>
      <c r="J4" s="1599"/>
      <c r="K4" s="1599"/>
      <c r="L4" s="1599"/>
      <c r="M4" s="595"/>
      <c r="N4" s="1599" t="s">
        <v>79</v>
      </c>
      <c r="O4" s="1599"/>
      <c r="P4" s="1599"/>
      <c r="Q4" s="1599"/>
      <c r="R4" s="1599"/>
      <c r="S4" s="1599"/>
      <c r="T4" s="1599"/>
      <c r="U4" s="1599"/>
      <c r="V4" s="1599"/>
      <c r="W4" s="1599"/>
      <c r="X4" s="1599"/>
      <c r="Y4" s="60"/>
      <c r="Z4" s="60"/>
    </row>
    <row r="7" spans="2:26" ht="12.75" customHeight="1" x14ac:dyDescent="0.25">
      <c r="B7" s="1600" t="s">
        <v>340</v>
      </c>
      <c r="C7" s="1603" t="s">
        <v>38</v>
      </c>
      <c r="D7" s="1603" t="s">
        <v>5</v>
      </c>
      <c r="E7" s="1595" t="s">
        <v>505</v>
      </c>
      <c r="F7" s="1596"/>
      <c r="G7" s="1596"/>
      <c r="H7" s="1597"/>
      <c r="I7" s="1595" t="s">
        <v>506</v>
      </c>
      <c r="J7" s="1596"/>
      <c r="K7" s="1596"/>
      <c r="L7" s="1597"/>
      <c r="M7" s="1595" t="s">
        <v>507</v>
      </c>
      <c r="N7" s="1596"/>
      <c r="O7" s="1596"/>
      <c r="P7" s="1596"/>
      <c r="Q7" s="1596"/>
      <c r="R7" s="1597"/>
      <c r="S7" s="1595" t="s">
        <v>1066</v>
      </c>
      <c r="T7" s="1596"/>
      <c r="U7" s="1596"/>
      <c r="V7" s="1596"/>
      <c r="W7" s="1597"/>
      <c r="X7" s="1593" t="s">
        <v>28</v>
      </c>
    </row>
    <row r="8" spans="2:26" ht="28" customHeight="1" x14ac:dyDescent="0.25">
      <c r="B8" s="1601"/>
      <c r="C8" s="1603"/>
      <c r="D8" s="1603"/>
      <c r="E8" s="1116" t="s">
        <v>1680</v>
      </c>
      <c r="F8" s="479" t="s">
        <v>916</v>
      </c>
      <c r="G8" s="287" t="s">
        <v>80</v>
      </c>
      <c r="H8" s="287" t="s">
        <v>449</v>
      </c>
      <c r="I8" s="1116" t="s">
        <v>1680</v>
      </c>
      <c r="J8" s="479" t="s">
        <v>916</v>
      </c>
      <c r="K8" s="287" t="s">
        <v>80</v>
      </c>
      <c r="L8" s="287" t="s">
        <v>449</v>
      </c>
      <c r="M8" s="1116" t="s">
        <v>1680</v>
      </c>
      <c r="N8" s="498" t="s">
        <v>916</v>
      </c>
      <c r="O8" s="287" t="s">
        <v>443</v>
      </c>
      <c r="P8" s="287" t="s">
        <v>447</v>
      </c>
      <c r="Q8" s="287" t="s">
        <v>81</v>
      </c>
      <c r="R8" s="287" t="s">
        <v>450</v>
      </c>
      <c r="S8" s="1117" t="s">
        <v>1067</v>
      </c>
      <c r="T8" s="1117" t="s">
        <v>1068</v>
      </c>
      <c r="U8" s="1117" t="s">
        <v>1069</v>
      </c>
      <c r="V8" s="1117" t="s">
        <v>1070</v>
      </c>
      <c r="W8" s="1117" t="s">
        <v>1071</v>
      </c>
      <c r="X8" s="1593"/>
    </row>
    <row r="9" spans="2:26" x14ac:dyDescent="0.25">
      <c r="B9" s="1602"/>
      <c r="C9" s="1604"/>
      <c r="D9" s="1604"/>
      <c r="E9" s="1116" t="s">
        <v>82</v>
      </c>
      <c r="F9" s="1116" t="s">
        <v>83</v>
      </c>
      <c r="G9" s="1116" t="s">
        <v>1675</v>
      </c>
      <c r="H9" s="1116" t="s">
        <v>1676</v>
      </c>
      <c r="I9" s="1116" t="s">
        <v>1577</v>
      </c>
      <c r="J9" s="1116" t="s">
        <v>508</v>
      </c>
      <c r="K9" s="1116" t="s">
        <v>410</v>
      </c>
      <c r="L9" s="1116" t="s">
        <v>1677</v>
      </c>
      <c r="M9" s="1116" t="s">
        <v>588</v>
      </c>
      <c r="N9" s="1116" t="s">
        <v>653</v>
      </c>
      <c r="O9" s="1116" t="s">
        <v>589</v>
      </c>
      <c r="P9" s="1116" t="s">
        <v>590</v>
      </c>
      <c r="Q9" s="1116" t="s">
        <v>677</v>
      </c>
      <c r="R9" s="1116" t="s">
        <v>678</v>
      </c>
      <c r="S9" s="1116" t="s">
        <v>1678</v>
      </c>
      <c r="T9" s="1116" t="s">
        <v>1678</v>
      </c>
      <c r="U9" s="1116" t="s">
        <v>1678</v>
      </c>
      <c r="V9" s="1116" t="s">
        <v>1678</v>
      </c>
      <c r="W9" s="1116" t="s">
        <v>1678</v>
      </c>
      <c r="X9" s="1594"/>
    </row>
    <row r="10" spans="2:26" x14ac:dyDescent="0.25">
      <c r="B10" s="24"/>
      <c r="C10" s="24"/>
      <c r="D10" s="122"/>
      <c r="E10" s="122"/>
      <c r="F10" s="122"/>
      <c r="G10" s="122"/>
      <c r="H10" s="122"/>
      <c r="I10" s="122"/>
      <c r="J10" s="122"/>
      <c r="K10" s="122"/>
      <c r="L10" s="122"/>
      <c r="M10" s="122"/>
      <c r="N10" s="122"/>
      <c r="O10" s="24"/>
      <c r="P10" s="24"/>
      <c r="Q10" s="24"/>
      <c r="R10" s="24"/>
      <c r="S10" s="24"/>
      <c r="T10" s="24"/>
      <c r="U10" s="24"/>
      <c r="V10" s="24"/>
      <c r="W10" s="24"/>
      <c r="X10" s="24"/>
    </row>
    <row r="11" spans="2:26" s="311" customFormat="1" x14ac:dyDescent="0.25">
      <c r="B11" s="234">
        <v>1</v>
      </c>
      <c r="C11" s="114" t="s">
        <v>84</v>
      </c>
      <c r="D11" s="123" t="s">
        <v>57</v>
      </c>
      <c r="E11" s="611">
        <f>'F2.2'!E155</f>
        <v>469.50251703765423</v>
      </c>
      <c r="F11" s="601">
        <f>'F2.2'!F155</f>
        <v>307.9155689988487</v>
      </c>
      <c r="G11" s="601">
        <f>'F2.2'!G155</f>
        <v>432.94404524316815</v>
      </c>
      <c r="H11" s="601">
        <f t="shared" ref="H11:H22" si="0">G11-F11</f>
        <v>125.02847624431945</v>
      </c>
      <c r="I11" s="601">
        <f>'F2.2'!$I$155</f>
        <v>577.38823249397922</v>
      </c>
      <c r="J11" s="601">
        <f>'F2.2'!J155</f>
        <v>415.5170836234505</v>
      </c>
      <c r="K11" s="601">
        <f>'F2.2'!K155</f>
        <v>463.9270540705329</v>
      </c>
      <c r="L11" s="601">
        <f t="shared" ref="L11:L22" si="1">K11-J11</f>
        <v>48.409970447082401</v>
      </c>
      <c r="M11" s="601">
        <f>'F2.2'!$M$155</f>
        <v>582.79231583937337</v>
      </c>
      <c r="N11" s="1111">
        <f>'F2.2'!N155</f>
        <v>531.49781026897438</v>
      </c>
      <c r="O11" s="601">
        <f>'F2.2'!O155</f>
        <v>244.15710105242124</v>
      </c>
      <c r="P11" s="601">
        <f>'F2.2'!P155</f>
        <v>306.93112515019726</v>
      </c>
      <c r="Q11" s="601">
        <f>O11+P11</f>
        <v>551.08822620261844</v>
      </c>
      <c r="R11" s="601">
        <f t="shared" ref="R11:R19" si="2">Q11-N11</f>
        <v>19.590415933644067</v>
      </c>
      <c r="S11" s="643">
        <f>'F2.2'!S155</f>
        <v>704.2862206211496</v>
      </c>
      <c r="T11" s="643">
        <f>'F2.2'!T155</f>
        <v>739.47340369633855</v>
      </c>
      <c r="U11" s="643">
        <f>'F2.2'!U155</f>
        <v>776.44707388115557</v>
      </c>
      <c r="V11" s="643">
        <f>'F2.2'!V155</f>
        <v>815.2694275752134</v>
      </c>
      <c r="W11" s="643">
        <f>'F2.2'!W155</f>
        <v>856.03289895397393</v>
      </c>
      <c r="X11" s="315"/>
    </row>
    <row r="12" spans="2:26" s="311" customFormat="1" x14ac:dyDescent="0.25">
      <c r="B12" s="234">
        <f>B11+1</f>
        <v>2</v>
      </c>
      <c r="C12" s="114" t="s">
        <v>1631</v>
      </c>
      <c r="D12" s="123" t="s">
        <v>57</v>
      </c>
      <c r="E12" s="611"/>
      <c r="F12" s="1077"/>
      <c r="G12" s="1077"/>
      <c r="H12" s="1077"/>
      <c r="I12" s="1077"/>
      <c r="J12" s="1077"/>
      <c r="K12" s="1077"/>
      <c r="L12" s="1077"/>
      <c r="M12" s="1077"/>
      <c r="N12" s="1077"/>
      <c r="O12" s="1077"/>
      <c r="P12" s="1077"/>
      <c r="Q12" s="1115">
        <f>O12+P12</f>
        <v>0</v>
      </c>
      <c r="R12" s="1077"/>
      <c r="S12" s="1077">
        <f>'F2.2'!E198</f>
        <v>0</v>
      </c>
      <c r="T12" s="1077">
        <f>'F2.2'!F198</f>
        <v>0</v>
      </c>
      <c r="U12" s="1077">
        <f>'F2.2'!G198</f>
        <v>0</v>
      </c>
      <c r="V12" s="1077">
        <f>'F2.2'!H198</f>
        <v>0</v>
      </c>
      <c r="W12" s="1077">
        <f>'F2.2'!I198</f>
        <v>0</v>
      </c>
      <c r="X12" s="315"/>
    </row>
    <row r="13" spans="2:26" s="311" customFormat="1" x14ac:dyDescent="0.25">
      <c r="B13" s="234">
        <f t="shared" ref="B13:B27" si="3">B12+1</f>
        <v>3</v>
      </c>
      <c r="C13" s="114" t="s">
        <v>85</v>
      </c>
      <c r="D13" s="123" t="s">
        <v>41</v>
      </c>
      <c r="E13" s="611">
        <f>'F3'!E17+'F3.1'!D27</f>
        <v>115.55715393594825</v>
      </c>
      <c r="F13" s="504">
        <f>'F3'!F17+'F3.1'!E27</f>
        <v>119.09878663570635</v>
      </c>
      <c r="G13" s="601">
        <f>'F3'!G17+'F3.1'!E27</f>
        <v>139.49243696556701</v>
      </c>
      <c r="H13" s="601">
        <f t="shared" si="0"/>
        <v>20.393650329860662</v>
      </c>
      <c r="I13" s="601">
        <f>'F3'!$I$17+'F3.1'!F27</f>
        <v>119.66381744453984</v>
      </c>
      <c r="J13" s="601">
        <f>'F3'!J17+'F3.1'!G27</f>
        <v>134.35582185641496</v>
      </c>
      <c r="K13" s="601">
        <f>'F3'!K17+'F3.1'!G27</f>
        <v>197.2706020041374</v>
      </c>
      <c r="L13" s="601">
        <f t="shared" si="1"/>
        <v>62.914780147722439</v>
      </c>
      <c r="M13" s="601">
        <f>'F3'!$M$17+'F3.1'!H27</f>
        <v>123.93217937476963</v>
      </c>
      <c r="N13" s="601">
        <f>'F3'!N17+'F3.1'!I27</f>
        <v>139.49740926263448</v>
      </c>
      <c r="O13" s="601">
        <f>'F3'!O17+'F3.1'!I27/2</f>
        <v>86.023865847665235</v>
      </c>
      <c r="P13" s="601">
        <f>'F3'!P17+'F3.1'!I27/2</f>
        <v>99.898864600272589</v>
      </c>
      <c r="Q13" s="601">
        <f>O13+P13</f>
        <v>185.92273044793782</v>
      </c>
      <c r="R13" s="601">
        <f t="shared" si="2"/>
        <v>46.425321185303346</v>
      </c>
      <c r="S13" s="643">
        <f>'F3'!S17+'F3.1'!J27</f>
        <v>159.61305622920352</v>
      </c>
      <c r="T13" s="643">
        <f>'F3'!T17+'F3.1'!K27</f>
        <v>167.17613914707292</v>
      </c>
      <c r="U13" s="643">
        <f>'F3'!U17+'F3.1'!L27</f>
        <v>250.25557657744719</v>
      </c>
      <c r="V13" s="643">
        <f>'F3'!V17+'F3.1'!M27</f>
        <v>260.06653965103845</v>
      </c>
      <c r="W13" s="643">
        <f>'F3'!W17+'F3.1'!N27</f>
        <v>271.16583350753433</v>
      </c>
      <c r="X13" s="315"/>
    </row>
    <row r="14" spans="2:26" s="311" customFormat="1" x14ac:dyDescent="0.25">
      <c r="B14" s="234">
        <f t="shared" si="3"/>
        <v>4</v>
      </c>
      <c r="C14" s="114" t="s">
        <v>1589</v>
      </c>
      <c r="D14" s="123" t="s">
        <v>41</v>
      </c>
      <c r="E14" s="123"/>
      <c r="F14" s="504"/>
      <c r="G14" s="631"/>
      <c r="H14" s="631">
        <f t="shared" si="0"/>
        <v>0</v>
      </c>
      <c r="I14" s="631"/>
      <c r="J14" s="631"/>
      <c r="K14" s="631"/>
      <c r="L14" s="631">
        <f t="shared" si="1"/>
        <v>0</v>
      </c>
      <c r="M14" s="631"/>
      <c r="N14" s="631"/>
      <c r="O14" s="631"/>
      <c r="P14" s="631"/>
      <c r="Q14" s="631"/>
      <c r="R14" s="631">
        <f t="shared" si="2"/>
        <v>0</v>
      </c>
      <c r="S14" s="643">
        <f>'F3'!E24</f>
        <v>0</v>
      </c>
      <c r="T14" s="1077">
        <f>'F3'!F24</f>
        <v>0</v>
      </c>
      <c r="U14" s="1077">
        <f>'F3'!G24</f>
        <v>0</v>
      </c>
      <c r="V14" s="1077">
        <f>'F3'!H24</f>
        <v>0</v>
      </c>
      <c r="W14" s="1077">
        <f>'F3'!I24</f>
        <v>0</v>
      </c>
      <c r="X14" s="315"/>
    </row>
    <row r="15" spans="2:26" s="311" customFormat="1" x14ac:dyDescent="0.25">
      <c r="B15" s="234">
        <f t="shared" si="3"/>
        <v>5</v>
      </c>
      <c r="C15" s="115" t="s">
        <v>337</v>
      </c>
      <c r="D15" s="123" t="s">
        <v>71</v>
      </c>
      <c r="E15" s="612">
        <v>8.9107337894947563</v>
      </c>
      <c r="F15" s="631">
        <f>G15</f>
        <v>9.0960260568930131</v>
      </c>
      <c r="G15" s="504">
        <f>'F5 (T)'!E85</f>
        <v>9.0960260568930131</v>
      </c>
      <c r="H15" s="631">
        <f t="shared" si="0"/>
        <v>0</v>
      </c>
      <c r="I15" s="612">
        <v>18.943083996966397</v>
      </c>
      <c r="J15" s="631">
        <f>K15</f>
        <v>5.2623308312643289</v>
      </c>
      <c r="K15" s="631">
        <f>'F5 (T)'!J85</f>
        <v>5.2623308312643289</v>
      </c>
      <c r="L15" s="631">
        <f t="shared" si="1"/>
        <v>0</v>
      </c>
      <c r="M15" s="612">
        <v>18.943083996966401</v>
      </c>
      <c r="N15" s="631">
        <f>Q15</f>
        <v>6.1066129787643355</v>
      </c>
      <c r="O15" s="631">
        <f>('F5 (T)'!O85)/2</f>
        <v>3.0533064893821678</v>
      </c>
      <c r="P15" s="631">
        <f>O15</f>
        <v>3.0533064893821678</v>
      </c>
      <c r="Q15" s="631">
        <f>O15+P15</f>
        <v>6.1066129787643355</v>
      </c>
      <c r="R15" s="631">
        <f t="shared" si="2"/>
        <v>0</v>
      </c>
      <c r="S15" s="643">
        <f>'F5 (T)'!T85</f>
        <v>5.7208392266675645</v>
      </c>
      <c r="T15" s="643">
        <f>'F5 (T)'!$E$112</f>
        <v>7.3824892266675661</v>
      </c>
      <c r="U15" s="643">
        <f>'F5 (T)'!$J$112</f>
        <v>9.044139226667566</v>
      </c>
      <c r="V15" s="643">
        <f>'F5 (T)'!$O$112</f>
        <v>9.0441392266675571</v>
      </c>
      <c r="W15" s="643">
        <f>'F5 (T)'!$T$112</f>
        <v>9.0441392266675358</v>
      </c>
      <c r="X15" s="315"/>
    </row>
    <row r="16" spans="2:26" s="311" customFormat="1" x14ac:dyDescent="0.25">
      <c r="B16" s="234">
        <f t="shared" si="3"/>
        <v>6</v>
      </c>
      <c r="C16" s="115" t="s">
        <v>898</v>
      </c>
      <c r="D16" s="123"/>
      <c r="E16" s="767">
        <v>0.30396194855796438</v>
      </c>
      <c r="F16" s="631">
        <f>G16</f>
        <v>6.4550141237898415E-2</v>
      </c>
      <c r="G16" s="504">
        <v>6.4550141237898415E-2</v>
      </c>
      <c r="H16" s="631">
        <f t="shared" si="0"/>
        <v>0</v>
      </c>
      <c r="I16" s="549">
        <v>0.2989396107668178</v>
      </c>
      <c r="J16" s="631">
        <f>K16</f>
        <v>7.1829075311510782E-2</v>
      </c>
      <c r="K16" s="504">
        <v>7.1829075311510782E-2</v>
      </c>
      <c r="L16" s="631">
        <f t="shared" si="1"/>
        <v>0</v>
      </c>
      <c r="M16" s="631">
        <v>0.2989396107668178</v>
      </c>
      <c r="N16" s="631">
        <f>Q16</f>
        <v>7.0447122791476385E-2</v>
      </c>
      <c r="O16" s="504">
        <v>3.5517275657819695E-2</v>
      </c>
      <c r="P16" s="504">
        <v>3.492984713365669E-2</v>
      </c>
      <c r="Q16" s="631">
        <f>O16+P16</f>
        <v>7.0447122791476385E-2</v>
      </c>
      <c r="R16" s="631">
        <f t="shared" si="2"/>
        <v>0</v>
      </c>
      <c r="S16" s="643">
        <v>7.1829075311510782E-2</v>
      </c>
      <c r="T16" s="1046">
        <v>7.1829075311510782E-2</v>
      </c>
      <c r="U16" s="1046">
        <v>7.1829075311510782E-2</v>
      </c>
      <c r="V16" s="1046">
        <v>7.1829075311510782E-2</v>
      </c>
      <c r="W16" s="1046">
        <v>7.1829075311510782E-2</v>
      </c>
      <c r="X16" s="315"/>
    </row>
    <row r="17" spans="2:24" s="311" customFormat="1" x14ac:dyDescent="0.25">
      <c r="B17" s="234">
        <f t="shared" si="3"/>
        <v>7</v>
      </c>
      <c r="C17" s="114" t="s">
        <v>336</v>
      </c>
      <c r="D17" s="123" t="s">
        <v>72</v>
      </c>
      <c r="E17" s="612">
        <f>'F6'!D25</f>
        <v>0.28701044119787716</v>
      </c>
      <c r="F17" s="504">
        <f>G17</f>
        <v>0.4635893433978584</v>
      </c>
      <c r="G17" s="758">
        <f>'F6'!E25</f>
        <v>0.4635893433978584</v>
      </c>
      <c r="H17" s="631">
        <f t="shared" si="0"/>
        <v>0</v>
      </c>
      <c r="I17" s="612">
        <f>'F6'!$G$25</f>
        <v>0.28701044119787716</v>
      </c>
      <c r="J17" s="631">
        <f>K17</f>
        <v>0.41308157912996457</v>
      </c>
      <c r="K17" s="631">
        <f>'F6'!$H$25</f>
        <v>0.41308157912996457</v>
      </c>
      <c r="L17" s="631">
        <f t="shared" si="1"/>
        <v>0</v>
      </c>
      <c r="M17" s="612">
        <f>'F6'!J25</f>
        <v>0.28701044119787716</v>
      </c>
      <c r="N17" s="631">
        <f>Q17</f>
        <v>0.41308157912996457</v>
      </c>
      <c r="O17" s="631">
        <f>'F6'!$K$25/2</f>
        <v>0.20654078956498229</v>
      </c>
      <c r="P17" s="631">
        <f>O17</f>
        <v>0.20654078956498229</v>
      </c>
      <c r="Q17" s="631">
        <f t="shared" ref="Q17:Q21" si="4">O17+P17</f>
        <v>0.41308157912996457</v>
      </c>
      <c r="R17" s="631">
        <f t="shared" si="2"/>
        <v>0</v>
      </c>
      <c r="S17" s="643">
        <f>'F6'!M25</f>
        <v>0.41308157912996457</v>
      </c>
      <c r="T17" s="643">
        <f>'F6'!N25</f>
        <v>3.6859648646920835</v>
      </c>
      <c r="U17" s="643">
        <f>'F6'!O25</f>
        <v>6.4834732438281364</v>
      </c>
      <c r="V17" s="643">
        <f>'F6'!P25</f>
        <v>5.5327234309760041</v>
      </c>
      <c r="W17" s="643">
        <f>'F6'!Q25</f>
        <v>4.5819736181238717</v>
      </c>
      <c r="X17" s="315"/>
    </row>
    <row r="18" spans="2:24" s="311" customFormat="1" x14ac:dyDescent="0.25">
      <c r="B18" s="234">
        <f t="shared" si="3"/>
        <v>8</v>
      </c>
      <c r="C18" s="24" t="s">
        <v>1665</v>
      </c>
      <c r="D18" s="123"/>
      <c r="E18" s="612"/>
      <c r="F18" s="608">
        <f>G18</f>
        <v>0</v>
      </c>
      <c r="G18" s="549">
        <v>0</v>
      </c>
      <c r="H18" s="549"/>
      <c r="I18" s="612"/>
      <c r="J18" s="608">
        <f>K18</f>
        <v>0</v>
      </c>
      <c r="K18" s="549">
        <v>0</v>
      </c>
      <c r="L18" s="549"/>
      <c r="M18" s="612"/>
      <c r="N18" s="549">
        <f>Q18</f>
        <v>0</v>
      </c>
      <c r="O18" s="549">
        <v>0</v>
      </c>
      <c r="P18" s="549">
        <v>0</v>
      </c>
      <c r="Q18" s="549">
        <v>0</v>
      </c>
      <c r="R18" s="549"/>
      <c r="S18" s="549">
        <v>0</v>
      </c>
      <c r="T18" s="549">
        <v>1.2810962866860469E-3</v>
      </c>
      <c r="U18" s="549">
        <v>2.2191624154925208E-3</v>
      </c>
      <c r="V18" s="549">
        <v>1.8101735080556683E-3</v>
      </c>
      <c r="W18" s="549">
        <v>1.4481118210278796E-3</v>
      </c>
      <c r="X18" s="315"/>
    </row>
    <row r="19" spans="2:24" s="311" customFormat="1" x14ac:dyDescent="0.25">
      <c r="B19" s="234">
        <f t="shared" si="3"/>
        <v>9</v>
      </c>
      <c r="C19" s="115" t="s">
        <v>88</v>
      </c>
      <c r="D19" s="123" t="s">
        <v>61</v>
      </c>
      <c r="E19" s="611">
        <f>'F2.4'!E34</f>
        <v>15.879959004683128</v>
      </c>
      <c r="F19" s="611">
        <f>'F2.4'!F34</f>
        <v>11.535798507730322</v>
      </c>
      <c r="G19" s="757">
        <f>'F2.4'!F35</f>
        <v>24.055384795471554</v>
      </c>
      <c r="H19" s="631">
        <f t="shared" si="0"/>
        <v>12.519586287741232</v>
      </c>
      <c r="I19" s="631">
        <f>'F2.4'!$G$34</f>
        <v>19.001893089307703</v>
      </c>
      <c r="J19" s="631">
        <f>'F2.4'!$H$34</f>
        <v>20.059775541777761</v>
      </c>
      <c r="K19" s="631">
        <f>'F2.4'!$H$35</f>
        <v>36.403717293309533</v>
      </c>
      <c r="L19" s="631">
        <f t="shared" si="1"/>
        <v>16.343941751531773</v>
      </c>
      <c r="M19" s="631">
        <f>'F2.4'!I34</f>
        <v>19.28894466309545</v>
      </c>
      <c r="N19" s="1111">
        <f ca="1">'F2.4'!J34</f>
        <v>26.326683091792447</v>
      </c>
      <c r="O19" s="1111">
        <f ca="1">Q19/2</f>
        <v>13.163341545896223</v>
      </c>
      <c r="P19" s="1111">
        <f ca="1">O19</f>
        <v>13.163341545896223</v>
      </c>
      <c r="Q19" s="1111">
        <f ca="1">N19</f>
        <v>26.326683091792447</v>
      </c>
      <c r="R19" s="631">
        <f t="shared" ca="1" si="2"/>
        <v>0</v>
      </c>
      <c r="S19" s="643">
        <f ca="1">'F2.4'!E73</f>
        <v>23.74996630171232</v>
      </c>
      <c r="T19" s="643">
        <f ca="1">'F2.4'!F73</f>
        <v>24.975739277779692</v>
      </c>
      <c r="U19" s="643">
        <f ca="1">'F2.4'!G73</f>
        <v>27.932583353631795</v>
      </c>
      <c r="V19" s="643">
        <f ca="1">'F2.4'!H73</f>
        <v>29.269174590001892</v>
      </c>
      <c r="W19" s="643">
        <f ca="1">'F2.4'!I73</f>
        <v>30.618311327104319</v>
      </c>
      <c r="X19" s="315"/>
    </row>
    <row r="20" spans="2:24" s="311" customFormat="1" x14ac:dyDescent="0.25">
      <c r="B20" s="234">
        <f t="shared" si="3"/>
        <v>10</v>
      </c>
      <c r="C20" s="115" t="s">
        <v>1599</v>
      </c>
      <c r="D20" s="123" t="s">
        <v>61</v>
      </c>
      <c r="E20" s="611"/>
      <c r="F20" s="611"/>
      <c r="G20" s="1077"/>
      <c r="H20" s="1077"/>
      <c r="I20" s="1077"/>
      <c r="J20" s="1077"/>
      <c r="K20" s="1077"/>
      <c r="L20" s="1077"/>
      <c r="M20" s="1077"/>
      <c r="N20" s="1077"/>
      <c r="O20" s="1077"/>
      <c r="P20" s="1077"/>
      <c r="Q20" s="1077"/>
      <c r="R20" s="1077"/>
      <c r="S20" s="1077">
        <f>'F2.4'!E85</f>
        <v>0</v>
      </c>
      <c r="T20" s="1077">
        <f>'F2.4'!F85</f>
        <v>0</v>
      </c>
      <c r="U20" s="1077">
        <f>'F2.4'!G85</f>
        <v>0</v>
      </c>
      <c r="V20" s="1077">
        <f>'F2.4'!H85</f>
        <v>0</v>
      </c>
      <c r="W20" s="1077">
        <f>'F2.4'!I85</f>
        <v>0</v>
      </c>
      <c r="X20" s="315"/>
    </row>
    <row r="21" spans="2:24" s="311" customFormat="1" x14ac:dyDescent="0.25">
      <c r="B21" s="234">
        <f t="shared" si="3"/>
        <v>11</v>
      </c>
      <c r="C21" s="115" t="s">
        <v>89</v>
      </c>
      <c r="D21" s="123" t="s">
        <v>77</v>
      </c>
      <c r="E21" s="612">
        <f>'F10'!D27</f>
        <v>3.73876132660991</v>
      </c>
      <c r="F21" s="504">
        <f>G21</f>
        <v>5.3713248137177052</v>
      </c>
      <c r="G21" s="549">
        <f>'F10'!E27</f>
        <v>5.3713248137177052</v>
      </c>
      <c r="H21" s="631">
        <f t="shared" si="0"/>
        <v>0</v>
      </c>
      <c r="I21" s="612">
        <f>'F10'!G27</f>
        <v>3.73876132660991</v>
      </c>
      <c r="J21" s="504">
        <f>K21</f>
        <v>7.4085439078775819</v>
      </c>
      <c r="K21" s="631">
        <f>'F10'!H27</f>
        <v>7.4085439078775819</v>
      </c>
      <c r="L21" s="631">
        <f t="shared" si="1"/>
        <v>0</v>
      </c>
      <c r="M21" s="612">
        <f>'F10'!J27</f>
        <v>3.73876132660991</v>
      </c>
      <c r="N21" s="631">
        <f>Q21</f>
        <v>6.3925711390219986</v>
      </c>
      <c r="O21" s="631">
        <f>'F10'!K27</f>
        <v>3.1962855695109993</v>
      </c>
      <c r="P21" s="631">
        <f>'F10'!L27</f>
        <v>3.1962855695109993</v>
      </c>
      <c r="Q21" s="631">
        <f t="shared" si="4"/>
        <v>6.3925711390219986</v>
      </c>
      <c r="R21" s="631">
        <f t="shared" ref="R21:R26" si="5">Q21-N21</f>
        <v>0</v>
      </c>
      <c r="S21" s="643">
        <f>'F10'!O27</f>
        <v>7.4085439078775819</v>
      </c>
      <c r="T21" s="643">
        <f>'F10'!P27</f>
        <v>7.4085439078775819</v>
      </c>
      <c r="U21" s="643">
        <f>'F10'!Q27</f>
        <v>7.4085439078775819</v>
      </c>
      <c r="V21" s="643">
        <f>'F10'!R27</f>
        <v>7.4085439078775819</v>
      </c>
      <c r="W21" s="643">
        <f>'F10'!S27</f>
        <v>7.4085439078775819</v>
      </c>
      <c r="X21" s="315"/>
    </row>
    <row r="22" spans="2:24" s="311" customFormat="1" x14ac:dyDescent="0.25">
      <c r="B22" s="234">
        <f t="shared" si="3"/>
        <v>12</v>
      </c>
      <c r="C22" s="114" t="s">
        <v>90</v>
      </c>
      <c r="D22" s="123" t="s">
        <v>323</v>
      </c>
      <c r="E22" s="612"/>
      <c r="F22" s="504">
        <f>E22</f>
        <v>0</v>
      </c>
      <c r="G22" s="690">
        <f>'F12'!E10</f>
        <v>0</v>
      </c>
      <c r="H22" s="690">
        <f t="shared" si="0"/>
        <v>0</v>
      </c>
      <c r="I22" s="612"/>
      <c r="J22" s="690">
        <f>I22</f>
        <v>0</v>
      </c>
      <c r="K22" s="690">
        <f>'F12'!F10</f>
        <v>0</v>
      </c>
      <c r="L22" s="690">
        <f t="shared" si="1"/>
        <v>0</v>
      </c>
      <c r="M22" s="612"/>
      <c r="N22" s="690">
        <f>M22</f>
        <v>0</v>
      </c>
      <c r="O22" s="315">
        <f>'F12'!$G$10/2</f>
        <v>0</v>
      </c>
      <c r="P22" s="315">
        <f>O22</f>
        <v>0</v>
      </c>
      <c r="Q22" s="690">
        <f>SUM(O22:P22)</f>
        <v>0</v>
      </c>
      <c r="R22" s="690">
        <f t="shared" si="5"/>
        <v>0</v>
      </c>
      <c r="S22" s="690">
        <f>'F12'!H10</f>
        <v>0</v>
      </c>
      <c r="T22" s="690">
        <f>'F12'!I10</f>
        <v>0</v>
      </c>
      <c r="U22" s="690">
        <f>'F12'!J10</f>
        <v>0</v>
      </c>
      <c r="V22" s="690">
        <f>'F12'!K10</f>
        <v>0</v>
      </c>
      <c r="W22" s="690">
        <f>'F12'!L10</f>
        <v>0</v>
      </c>
      <c r="X22" s="315"/>
    </row>
    <row r="23" spans="2:24" s="311" customFormat="1" x14ac:dyDescent="0.25">
      <c r="B23" s="234">
        <f t="shared" si="3"/>
        <v>13</v>
      </c>
      <c r="C23" s="237" t="s">
        <v>91</v>
      </c>
      <c r="D23" s="501"/>
      <c r="E23" s="439">
        <f t="shared" ref="E23:W23" si="6">SUM(E11:E22)</f>
        <v>614.18009748414602</v>
      </c>
      <c r="F23" s="439">
        <f t="shared" si="6"/>
        <v>453.54564449753184</v>
      </c>
      <c r="G23" s="439">
        <f>SUM(G11:G22)</f>
        <v>611.4873573594532</v>
      </c>
      <c r="H23" s="439">
        <f t="shared" si="6"/>
        <v>157.94171286192133</v>
      </c>
      <c r="I23" s="439">
        <f t="shared" si="6"/>
        <v>739.32173840336782</v>
      </c>
      <c r="J23" s="439">
        <f t="shared" si="6"/>
        <v>583.08846641522666</v>
      </c>
      <c r="K23" s="439">
        <f t="shared" si="6"/>
        <v>710.75715876156323</v>
      </c>
      <c r="L23" s="439">
        <f t="shared" si="6"/>
        <v>127.66869234633661</v>
      </c>
      <c r="M23" s="439">
        <f t="shared" si="6"/>
        <v>749.28123525277942</v>
      </c>
      <c r="N23" s="439">
        <f t="shared" ca="1" si="6"/>
        <v>710.30461544310924</v>
      </c>
      <c r="O23" s="439">
        <f t="shared" ca="1" si="6"/>
        <v>349.83595857009868</v>
      </c>
      <c r="P23" s="439">
        <f t="shared" ca="1" si="6"/>
        <v>426.48439399195792</v>
      </c>
      <c r="Q23" s="439">
        <f t="shared" ca="1" si="6"/>
        <v>776.32035256205666</v>
      </c>
      <c r="R23" s="439">
        <f t="shared" ca="1" si="6"/>
        <v>66.015737118947413</v>
      </c>
      <c r="S23" s="439">
        <f ca="1">SUM(S11:S22)</f>
        <v>901.26353694105205</v>
      </c>
      <c r="T23" s="439">
        <f t="shared" ca="1" si="6"/>
        <v>950.17539029202658</v>
      </c>
      <c r="U23" s="439">
        <f t="shared" ca="1" si="6"/>
        <v>1077.645438428335</v>
      </c>
      <c r="V23" s="439">
        <f t="shared" ca="1" si="6"/>
        <v>1126.6641876305946</v>
      </c>
      <c r="W23" s="439">
        <f t="shared" ca="1" si="6"/>
        <v>1178.9249777284142</v>
      </c>
      <c r="X23" s="315"/>
    </row>
    <row r="24" spans="2:24" s="311" customFormat="1" x14ac:dyDescent="0.25">
      <c r="B24" s="234">
        <f t="shared" si="3"/>
        <v>14</v>
      </c>
      <c r="C24" s="114" t="s">
        <v>92</v>
      </c>
      <c r="D24" s="123" t="s">
        <v>74</v>
      </c>
      <c r="E24" s="612">
        <f>'F7'!D21</f>
        <v>13.402903431789325</v>
      </c>
      <c r="F24" s="504">
        <f>G24</f>
        <v>13.404383131102621</v>
      </c>
      <c r="G24" s="504">
        <f>'F7'!E21+'F7'!E42</f>
        <v>13.404383131102621</v>
      </c>
      <c r="H24" s="631">
        <f>G24-F24</f>
        <v>0</v>
      </c>
      <c r="I24" s="612">
        <f>'F7'!G21</f>
        <v>13.519243431789324</v>
      </c>
      <c r="J24" s="631">
        <f>K24</f>
        <v>13.414429342271918</v>
      </c>
      <c r="K24" s="631">
        <f>'F7'!H21+'F7'!F42</f>
        <v>13.414429342271918</v>
      </c>
      <c r="L24" s="631">
        <f>K24-J24</f>
        <v>0</v>
      </c>
      <c r="M24" s="612">
        <f>'F7'!$J$21</f>
        <v>13.635583431789325</v>
      </c>
      <c r="N24" s="631">
        <f>Q24</f>
        <v>13.541128262927918</v>
      </c>
      <c r="O24" s="631">
        <f>'F7'!K21/2</f>
        <v>6.7705641314639591</v>
      </c>
      <c r="P24" s="631">
        <f>O24</f>
        <v>6.7705641314639591</v>
      </c>
      <c r="Q24" s="631">
        <f t="shared" ref="Q24:Q26" si="7">O24+P24</f>
        <v>13.541128262927918</v>
      </c>
      <c r="R24" s="631">
        <f t="shared" si="5"/>
        <v>0</v>
      </c>
      <c r="S24" s="643">
        <f>'F7'!D65</f>
        <v>15.122752886555912</v>
      </c>
      <c r="T24" s="643">
        <f>'F7'!E65</f>
        <v>17.436127886555912</v>
      </c>
      <c r="U24" s="643">
        <f>'F7'!F65</f>
        <v>19.749502886555913</v>
      </c>
      <c r="V24" s="643">
        <f>'F7'!G65</f>
        <v>19.749502886555913</v>
      </c>
      <c r="W24" s="643">
        <f>'F7'!H65</f>
        <v>19.749502886555913</v>
      </c>
      <c r="X24" s="315"/>
    </row>
    <row r="25" spans="2:24" s="311" customFormat="1" x14ac:dyDescent="0.25">
      <c r="B25" s="234">
        <f t="shared" si="3"/>
        <v>15</v>
      </c>
      <c r="C25" s="24" t="s">
        <v>1666</v>
      </c>
      <c r="D25" s="123"/>
      <c r="E25" s="612"/>
      <c r="F25" s="608">
        <f>G25</f>
        <v>2.4751831486027717E-3</v>
      </c>
      <c r="G25" s="608">
        <v>2.4751831486027717E-3</v>
      </c>
      <c r="H25" s="549"/>
      <c r="I25" s="612"/>
      <c r="J25" s="608">
        <f>K25</f>
        <v>2.825555150768092E-3</v>
      </c>
      <c r="K25" s="608">
        <v>2.825555150768092E-3</v>
      </c>
      <c r="L25" s="549"/>
      <c r="M25" s="612"/>
      <c r="N25" s="549">
        <f>Q25</f>
        <v>3.1438790157352989E-3</v>
      </c>
      <c r="O25" s="608">
        <v>1.5719395078676495E-3</v>
      </c>
      <c r="P25" s="608">
        <v>1.5719395078676495E-3</v>
      </c>
      <c r="Q25" s="608">
        <v>3.1438790157352989E-3</v>
      </c>
      <c r="R25" s="549"/>
      <c r="S25" s="608">
        <v>2.9785969591126405E-3</v>
      </c>
      <c r="T25" s="608">
        <v>3.2162319305111468E-3</v>
      </c>
      <c r="U25" s="608">
        <v>3.4577509088979585E-3</v>
      </c>
      <c r="V25" s="608">
        <v>3.325951825665625E-3</v>
      </c>
      <c r="W25" s="608">
        <v>3.2228716156579378E-3</v>
      </c>
      <c r="X25" s="315"/>
    </row>
    <row r="26" spans="2:24" s="311" customFormat="1" x14ac:dyDescent="0.25">
      <c r="B26" s="234">
        <f t="shared" si="3"/>
        <v>16</v>
      </c>
      <c r="C26" s="114" t="s">
        <v>93</v>
      </c>
      <c r="D26" s="123" t="s">
        <v>78</v>
      </c>
      <c r="E26" s="612">
        <f>'F11'!D26</f>
        <v>3.9892058040198344</v>
      </c>
      <c r="F26" s="504">
        <f>G26</f>
        <v>1.502971071291862</v>
      </c>
      <c r="G26" s="631">
        <f>'F11'!E26</f>
        <v>1.502971071291862</v>
      </c>
      <c r="H26" s="631">
        <f>G26-F26</f>
        <v>0</v>
      </c>
      <c r="I26" s="612">
        <f>'F11'!G26</f>
        <v>1.7770808210402742</v>
      </c>
      <c r="J26" s="631">
        <f>K26</f>
        <v>0.82531521677347774</v>
      </c>
      <c r="K26" s="631">
        <f>'F11'!H26</f>
        <v>0.82531521677347774</v>
      </c>
      <c r="L26" s="631">
        <f>K26-J26</f>
        <v>0</v>
      </c>
      <c r="M26" s="612">
        <f>'F11'!J26</f>
        <v>1.7770808210402742</v>
      </c>
      <c r="N26" s="631">
        <f>Q26</f>
        <v>0.82531521677347774</v>
      </c>
      <c r="O26" s="631">
        <f>'F11'!K26</f>
        <v>0.41265760838673887</v>
      </c>
      <c r="P26" s="631">
        <f>'F11'!L26</f>
        <v>0.41265760838673887</v>
      </c>
      <c r="Q26" s="631">
        <f t="shared" si="7"/>
        <v>0.82531521677347774</v>
      </c>
      <c r="R26" s="631">
        <f t="shared" si="5"/>
        <v>0</v>
      </c>
      <c r="S26" s="643">
        <f>'F11'!O26</f>
        <v>0.82531521677347774</v>
      </c>
      <c r="T26" s="643">
        <f>'F11'!P26</f>
        <v>0.82531521677347774</v>
      </c>
      <c r="U26" s="643">
        <f>'F11'!Q26</f>
        <v>0.82531521677347774</v>
      </c>
      <c r="V26" s="643">
        <f>'F11'!R26</f>
        <v>0.82531521677347774</v>
      </c>
      <c r="W26" s="643">
        <f>'F11'!S26</f>
        <v>0.82531521677347774</v>
      </c>
      <c r="X26" s="315"/>
    </row>
    <row r="27" spans="2:24" s="311" customFormat="1" x14ac:dyDescent="0.25">
      <c r="B27" s="234">
        <f t="shared" si="3"/>
        <v>17</v>
      </c>
      <c r="C27" s="237" t="s">
        <v>94</v>
      </c>
      <c r="D27" s="123"/>
      <c r="E27" s="439">
        <f t="shared" ref="E27:K27" si="8">E23+E24-E26+E25</f>
        <v>623.59379511191548</v>
      </c>
      <c r="F27" s="439">
        <f t="shared" si="8"/>
        <v>465.44953174049118</v>
      </c>
      <c r="G27" s="439">
        <f t="shared" si="8"/>
        <v>623.39124460241248</v>
      </c>
      <c r="H27" s="439">
        <f t="shared" si="8"/>
        <v>157.94171286192133</v>
      </c>
      <c r="I27" s="439">
        <f t="shared" si="8"/>
        <v>751.06390101411682</v>
      </c>
      <c r="J27" s="439">
        <f t="shared" si="8"/>
        <v>595.68040609587592</v>
      </c>
      <c r="K27" s="439">
        <f t="shared" si="8"/>
        <v>723.34909844221249</v>
      </c>
      <c r="L27" s="439">
        <f t="shared" ref="L27:R27" si="9">L23+L24-L26</f>
        <v>127.66869234633661</v>
      </c>
      <c r="M27" s="439">
        <f t="shared" si="9"/>
        <v>761.13973786352847</v>
      </c>
      <c r="N27" s="439">
        <f ca="1">N23+N24-N26+N25</f>
        <v>723.02357236827947</v>
      </c>
      <c r="O27" s="439">
        <f ca="1">O23+O24-O26+O25</f>
        <v>356.1954370326838</v>
      </c>
      <c r="P27" s="439">
        <f ca="1">P23+P24+P25-P26</f>
        <v>432.84387245454303</v>
      </c>
      <c r="Q27" s="439">
        <f ca="1">Q23+Q24+Q25-Q26</f>
        <v>789.03930948722689</v>
      </c>
      <c r="R27" s="439">
        <f t="shared" ca="1" si="9"/>
        <v>66.015737118947413</v>
      </c>
      <c r="S27" s="439">
        <f t="shared" ref="S27:W27" ca="1" si="10">S23+S24+S25-S26</f>
        <v>915.56395320779359</v>
      </c>
      <c r="T27" s="439">
        <f t="shared" ca="1" si="10"/>
        <v>966.7894191937396</v>
      </c>
      <c r="U27" s="439">
        <f t="shared" ca="1" si="10"/>
        <v>1096.5730838490263</v>
      </c>
      <c r="V27" s="439">
        <f t="shared" ca="1" si="10"/>
        <v>1145.5917012522027</v>
      </c>
      <c r="W27" s="439">
        <f t="shared" ca="1" si="10"/>
        <v>1197.8523882698123</v>
      </c>
      <c r="X27" s="315"/>
    </row>
    <row r="28" spans="2:24" s="613" customFormat="1" x14ac:dyDescent="0.25">
      <c r="E28" s="614"/>
      <c r="F28" s="615"/>
      <c r="G28" s="1113"/>
      <c r="H28" s="551"/>
      <c r="I28" s="614"/>
      <c r="J28" s="580"/>
      <c r="K28" s="1378"/>
      <c r="L28" s="551"/>
      <c r="M28" s="614"/>
      <c r="N28" s="615"/>
      <c r="O28" s="614"/>
      <c r="P28" s="614"/>
      <c r="Q28" s="1113"/>
      <c r="S28" s="614"/>
      <c r="T28" s="614"/>
      <c r="U28" s="614"/>
      <c r="V28" s="614"/>
      <c r="W28" s="614"/>
    </row>
    <row r="29" spans="2:24" x14ac:dyDescent="0.25">
      <c r="F29" s="359"/>
      <c r="J29" s="359"/>
      <c r="K29" s="481"/>
      <c r="N29" s="359"/>
      <c r="S29" s="481"/>
      <c r="T29" s="481"/>
      <c r="U29" s="481"/>
    </row>
    <row r="30" spans="2:24" x14ac:dyDescent="0.25">
      <c r="B30" s="14" t="s">
        <v>1679</v>
      </c>
    </row>
    <row r="32" spans="2:24" x14ac:dyDescent="0.25">
      <c r="G32" s="1340"/>
      <c r="H32" s="1340"/>
      <c r="I32" s="1340"/>
      <c r="J32" s="1340"/>
      <c r="K32" s="1340"/>
      <c r="L32" s="1340"/>
      <c r="M32" s="1340"/>
      <c r="N32" s="1340"/>
      <c r="O32" s="1340"/>
      <c r="P32" s="1340"/>
      <c r="Q32" s="1340"/>
      <c r="R32" s="1340"/>
      <c r="S32" s="1340"/>
    </row>
    <row r="33" spans="7:19" x14ac:dyDescent="0.25">
      <c r="G33" s="1341">
        <v>0</v>
      </c>
      <c r="H33" s="1340"/>
      <c r="I33" s="1340"/>
      <c r="J33" s="1340"/>
      <c r="K33" s="1341"/>
      <c r="L33" s="1340"/>
      <c r="M33" s="1340"/>
      <c r="N33" s="1340"/>
      <c r="O33" s="1341"/>
      <c r="P33" s="1341"/>
      <c r="Q33" s="1341"/>
      <c r="R33" s="1340"/>
      <c r="S33" s="1340"/>
    </row>
    <row r="35" spans="7:19" x14ac:dyDescent="0.25">
      <c r="K35" s="481"/>
    </row>
    <row r="36" spans="7:19" x14ac:dyDescent="0.25">
      <c r="K36" s="481"/>
    </row>
    <row r="37" spans="7:19" x14ac:dyDescent="0.25">
      <c r="K37" s="481"/>
    </row>
    <row r="38" spans="7:19" x14ac:dyDescent="0.25">
      <c r="K38" s="481"/>
    </row>
    <row r="39" spans="7:19" x14ac:dyDescent="0.25">
      <c r="K39" s="481"/>
    </row>
    <row r="40" spans="7:19" x14ac:dyDescent="0.25">
      <c r="K40" s="481"/>
    </row>
    <row r="41" spans="7:19" x14ac:dyDescent="0.25">
      <c r="K41" s="481"/>
      <c r="L41" s="481"/>
    </row>
  </sheetData>
  <mergeCells count="14">
    <mergeCell ref="X7:X9"/>
    <mergeCell ref="M7:R7"/>
    <mergeCell ref="S7:W7"/>
    <mergeCell ref="B2:L2"/>
    <mergeCell ref="B3:L3"/>
    <mergeCell ref="B4:L4"/>
    <mergeCell ref="N2:X2"/>
    <mergeCell ref="N3:X3"/>
    <mergeCell ref="N4:X4"/>
    <mergeCell ref="B7:B9"/>
    <mergeCell ref="C7:C9"/>
    <mergeCell ref="D7:D9"/>
    <mergeCell ref="E7:H7"/>
    <mergeCell ref="I7:L7"/>
  </mergeCells>
  <printOptions horizontalCentered="1" verticalCentered="1" headings="1"/>
  <pageMargins left="0.82677165354330717" right="0.86614173228346458" top="2.93" bottom="1.6" header="0.51181102362204722" footer="0.51181102362204722"/>
  <pageSetup paperSize="9" scale="60" orientation="landscape" r:id="rId1"/>
  <headerFooter alignWithMargins="0"/>
  <colBreaks count="1" manualBreakCount="1">
    <brk id="13"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R20"/>
  <sheetViews>
    <sheetView view="pageBreakPreview" zoomScale="70" zoomScaleNormal="75" zoomScaleSheetLayoutView="70" workbookViewId="0">
      <selection activeCell="D8" sqref="D8"/>
    </sheetView>
  </sheetViews>
  <sheetFormatPr defaultColWidth="9.36328125" defaultRowHeight="14" x14ac:dyDescent="0.3"/>
  <cols>
    <col min="1" max="1" width="8.36328125" style="165" customWidth="1"/>
    <col min="2" max="2" width="33.81640625" style="165" customWidth="1"/>
    <col min="3" max="3" width="11.08984375" style="165" customWidth="1"/>
    <col min="4" max="4" width="14.453125" style="165" customWidth="1"/>
    <col min="5" max="5" width="10.08984375" style="165" customWidth="1"/>
    <col min="6" max="6" width="11.08984375" style="165" customWidth="1"/>
    <col min="7" max="7" width="14.1796875" style="165" customWidth="1"/>
    <col min="8" max="8" width="7.90625" style="165" customWidth="1"/>
    <col min="9" max="9" width="11.08984375" style="165" customWidth="1"/>
    <col min="10" max="10" width="14.1796875" style="165" customWidth="1"/>
    <col min="11" max="11" width="15.81640625" style="165" customWidth="1"/>
    <col min="12" max="12" width="12.453125" style="165" customWidth="1"/>
    <col min="13" max="14" width="12.90625" style="165" customWidth="1"/>
    <col min="15" max="15" width="13.1796875" style="165" customWidth="1"/>
    <col min="16" max="16" width="13.81640625" style="165" customWidth="1"/>
    <col min="17" max="17" width="12.54296875" style="165" customWidth="1"/>
    <col min="18" max="16384" width="9.36328125" style="165"/>
  </cols>
  <sheetData>
    <row r="1" spans="1:18" x14ac:dyDescent="0.3">
      <c r="A1" s="162"/>
      <c r="B1" s="163"/>
      <c r="C1" s="164"/>
      <c r="D1" s="164"/>
      <c r="E1" s="164"/>
      <c r="F1" s="164"/>
    </row>
    <row r="2" spans="1:18" x14ac:dyDescent="0.3">
      <c r="A2" s="1605" t="str">
        <f>Index!B2</f>
        <v xml:space="preserve">      Maharashtra State Power Generation Company Ltd.</v>
      </c>
      <c r="B2" s="1605"/>
      <c r="C2" s="1605"/>
      <c r="D2" s="1605"/>
      <c r="E2" s="1605"/>
      <c r="F2" s="1605"/>
      <c r="G2" s="1605"/>
      <c r="H2" s="1605"/>
      <c r="I2" s="599"/>
      <c r="J2" s="1605" t="s">
        <v>779</v>
      </c>
      <c r="K2" s="1605"/>
      <c r="L2" s="1605"/>
      <c r="M2" s="1605"/>
      <c r="N2" s="1605"/>
      <c r="O2" s="1605"/>
      <c r="P2" s="1605"/>
      <c r="Q2" s="1605"/>
      <c r="R2" s="505"/>
    </row>
    <row r="3" spans="1:18" x14ac:dyDescent="0.3">
      <c r="A3" s="1605" t="str">
        <f>Index!B3</f>
        <v>MYT Petition Formats for Bhusawal Unit 3</v>
      </c>
      <c r="B3" s="1605"/>
      <c r="C3" s="1605"/>
      <c r="D3" s="1605"/>
      <c r="E3" s="1605"/>
      <c r="F3" s="1605"/>
      <c r="G3" s="1605"/>
      <c r="H3" s="1605"/>
      <c r="I3" s="599"/>
      <c r="J3" s="1605" t="str">
        <f>A3</f>
        <v>MYT Petition Formats for Bhusawal Unit 3</v>
      </c>
      <c r="K3" s="1605"/>
      <c r="L3" s="1605"/>
      <c r="M3" s="1605"/>
      <c r="N3" s="1605"/>
      <c r="O3" s="1605"/>
      <c r="P3" s="1605"/>
      <c r="Q3" s="1605"/>
      <c r="R3" s="505"/>
    </row>
    <row r="4" spans="1:18" x14ac:dyDescent="0.3">
      <c r="A4" s="1606" t="s">
        <v>369</v>
      </c>
      <c r="B4" s="1606"/>
      <c r="C4" s="1606"/>
      <c r="D4" s="1606"/>
      <c r="E4" s="1606"/>
      <c r="F4" s="1606"/>
      <c r="G4" s="1606"/>
      <c r="H4" s="1606"/>
      <c r="I4" s="600"/>
      <c r="J4" s="1606" t="s">
        <v>369</v>
      </c>
      <c r="K4" s="1606"/>
      <c r="L4" s="1606"/>
      <c r="M4" s="1606"/>
      <c r="N4" s="1606"/>
      <c r="O4" s="1606"/>
      <c r="P4" s="1606"/>
      <c r="Q4" s="1606"/>
      <c r="R4" s="506"/>
    </row>
    <row r="5" spans="1:18" s="220" customFormat="1" ht="36" customHeight="1" x14ac:dyDescent="0.3">
      <c r="A5" s="166"/>
      <c r="B5" s="164"/>
      <c r="C5" s="164"/>
      <c r="D5" s="164"/>
      <c r="E5" s="164"/>
      <c r="F5" s="164"/>
      <c r="H5" s="290"/>
      <c r="I5" s="165"/>
      <c r="J5" s="165"/>
      <c r="K5" s="165"/>
      <c r="L5" s="165"/>
      <c r="M5" s="165"/>
      <c r="N5" s="165"/>
      <c r="O5" s="165"/>
      <c r="P5" s="165"/>
      <c r="Q5" s="165"/>
    </row>
    <row r="6" spans="1:18" s="220" customFormat="1" ht="15.65" customHeight="1" x14ac:dyDescent="0.25">
      <c r="A6" s="1615" t="s">
        <v>340</v>
      </c>
      <c r="B6" s="1611" t="s">
        <v>38</v>
      </c>
      <c r="C6" s="1617" t="s">
        <v>505</v>
      </c>
      <c r="D6" s="1618"/>
      <c r="E6" s="1619"/>
      <c r="F6" s="1617" t="s">
        <v>506</v>
      </c>
      <c r="G6" s="1618"/>
      <c r="H6" s="1619"/>
      <c r="I6" s="1617" t="s">
        <v>507</v>
      </c>
      <c r="J6" s="1618"/>
      <c r="K6" s="1619"/>
      <c r="L6" s="1620" t="s">
        <v>1066</v>
      </c>
      <c r="M6" s="1620"/>
      <c r="N6" s="1620"/>
      <c r="O6" s="1620"/>
      <c r="P6" s="1620"/>
      <c r="Q6" s="1609" t="s">
        <v>28</v>
      </c>
    </row>
    <row r="7" spans="1:18" s="220" customFormat="1" ht="28" x14ac:dyDescent="0.25">
      <c r="A7" s="1616"/>
      <c r="B7" s="1612"/>
      <c r="C7" s="1126" t="s">
        <v>1680</v>
      </c>
      <c r="D7" s="585" t="s">
        <v>916</v>
      </c>
      <c r="E7" s="293" t="s">
        <v>7</v>
      </c>
      <c r="F7" s="1126" t="s">
        <v>1680</v>
      </c>
      <c r="G7" s="585" t="s">
        <v>916</v>
      </c>
      <c r="H7" s="1126" t="s">
        <v>7</v>
      </c>
      <c r="I7" s="1126" t="s">
        <v>1680</v>
      </c>
      <c r="J7" s="585" t="s">
        <v>916</v>
      </c>
      <c r="K7" s="1126" t="s">
        <v>680</v>
      </c>
      <c r="L7" s="1132" t="s">
        <v>1067</v>
      </c>
      <c r="M7" s="1132" t="s">
        <v>1068</v>
      </c>
      <c r="N7" s="1132" t="s">
        <v>1069</v>
      </c>
      <c r="O7" s="1132" t="s">
        <v>1070</v>
      </c>
      <c r="P7" s="1132" t="s">
        <v>1071</v>
      </c>
      <c r="Q7" s="1610"/>
    </row>
    <row r="8" spans="1:18" s="503" customFormat="1" ht="15" x14ac:dyDescent="0.25">
      <c r="A8" s="1129"/>
      <c r="B8" s="1128"/>
      <c r="C8" s="293"/>
      <c r="D8" s="585"/>
      <c r="E8" s="293"/>
      <c r="F8" s="293"/>
      <c r="G8" s="585"/>
      <c r="H8" s="1126"/>
      <c r="I8" s="293"/>
      <c r="J8" s="585"/>
      <c r="K8" s="1126"/>
      <c r="L8" s="1132" t="s">
        <v>21</v>
      </c>
      <c r="M8" s="1132" t="s">
        <v>21</v>
      </c>
      <c r="N8" s="1132" t="s">
        <v>21</v>
      </c>
      <c r="O8" s="1132" t="s">
        <v>21</v>
      </c>
      <c r="P8" s="1132" t="s">
        <v>21</v>
      </c>
      <c r="Q8" s="1127"/>
    </row>
    <row r="9" spans="1:18" s="622" customFormat="1" x14ac:dyDescent="0.3">
      <c r="A9" s="616">
        <v>1</v>
      </c>
      <c r="B9" s="617" t="s">
        <v>633</v>
      </c>
      <c r="C9" s="618">
        <f>'F1'!E27-'F1'!E11</f>
        <v>154.09127807426125</v>
      </c>
      <c r="D9" s="619">
        <f>SUM('F1'!F13:F22,'F1'!F24)-'F1'!F26</f>
        <v>157.53148755849395</v>
      </c>
      <c r="E9" s="619">
        <f>SUM('F1'!G13:G22,'F1'!G24)-'F1'!G26</f>
        <v>190.44472417609583</v>
      </c>
      <c r="F9" s="619">
        <f>'F1'!$I$27-'F1'!$I$11</f>
        <v>173.67566852013761</v>
      </c>
      <c r="G9" s="619">
        <f>SUM('F1'!J13:J22,'F1'!J24)-'F1'!J26</f>
        <v>180.16049691727454</v>
      </c>
      <c r="H9" s="619">
        <f>SUM('F1'!K13:K22,'F1'!K24)-'F1'!K26</f>
        <v>259.41921881652877</v>
      </c>
      <c r="I9" s="620">
        <f>'F1'!$M$27-'F1'!$M$11</f>
        <v>178.34742202415509</v>
      </c>
      <c r="J9" s="620">
        <f ca="1">SUM('F1'!N13:N22,'F1'!N24)-'F1'!N26</f>
        <v>191.52261822028916</v>
      </c>
      <c r="K9" s="620">
        <f ca="1">SUM('F1'!Q13:Q22,'F1'!Q24)-'F1'!Q26</f>
        <v>237.94793940559251</v>
      </c>
      <c r="L9" s="620">
        <f ca="1">SUM('F1'!S13:S22,'F1'!S24)-'F1'!S26</f>
        <v>211.27475398968488</v>
      </c>
      <c r="M9" s="620">
        <f ca="1">SUM('F1'!T13:T22,'F1'!T24)-'F1'!T26</f>
        <v>227.31279926547046</v>
      </c>
      <c r="N9" s="620">
        <f ca="1">SUM('F1'!U13:U22,'F1'!U24)-'F1'!U26</f>
        <v>320.12255221696159</v>
      </c>
      <c r="O9" s="620">
        <f ca="1">SUM('F1'!V13:V22,'F1'!V24)-'F1'!V26</f>
        <v>330.31894772516335</v>
      </c>
      <c r="P9" s="620">
        <f ca="1">SUM('F1'!W13:W22,'F1'!W24)-'F1'!W26</f>
        <v>341.81626644422255</v>
      </c>
      <c r="Q9" s="621"/>
    </row>
    <row r="10" spans="1:18" s="622" customFormat="1" x14ac:dyDescent="0.3">
      <c r="A10" s="623"/>
      <c r="B10" s="114"/>
      <c r="C10" s="114"/>
      <c r="D10" s="624"/>
      <c r="E10" s="624"/>
      <c r="F10" s="624"/>
      <c r="G10" s="582"/>
      <c r="H10" s="582"/>
      <c r="I10" s="582"/>
      <c r="J10" s="582"/>
      <c r="K10" s="582"/>
      <c r="L10" s="582"/>
      <c r="M10" s="582"/>
      <c r="N10" s="582"/>
      <c r="O10" s="582"/>
      <c r="P10" s="582"/>
      <c r="Q10" s="621"/>
    </row>
    <row r="11" spans="1:18" s="629" customFormat="1" x14ac:dyDescent="0.3">
      <c r="A11" s="583">
        <v>2</v>
      </c>
      <c r="B11" s="625" t="s">
        <v>417</v>
      </c>
      <c r="C11" s="626">
        <f>'F2.2'!$E$157</f>
        <v>4.602382945857622</v>
      </c>
      <c r="D11" s="627">
        <f>'F2.2'!F157</f>
        <v>4.8330476601757129</v>
      </c>
      <c r="E11" s="627">
        <f>'F2.2'!G157</f>
        <v>7.0820833707085811</v>
      </c>
      <c r="F11" s="628">
        <f>'F2.2'!$I$157</f>
        <v>4.4078314698710352</v>
      </c>
      <c r="G11" s="627">
        <f>'F2.2'!J157</f>
        <v>4.5929627899605601</v>
      </c>
      <c r="H11" s="627">
        <f>'F2.2'!K157</f>
        <v>5.2741776255185364</v>
      </c>
      <c r="I11" s="628">
        <f>'F2.2'!$M$157</f>
        <v>0</v>
      </c>
      <c r="J11" s="627">
        <f>'F2.2'!N157</f>
        <v>4.8057922471108583</v>
      </c>
      <c r="K11" s="627">
        <f>'F2.2'!Q157</f>
        <v>5.0466940703877059</v>
      </c>
      <c r="L11" s="627">
        <f>'F2.2'!S157</f>
        <v>5.3727351888739285</v>
      </c>
      <c r="M11" s="627">
        <f>'F2.2'!T157</f>
        <v>5.6413749583198838</v>
      </c>
      <c r="N11" s="627">
        <f>'F2.2'!U157</f>
        <v>5.9234437062358793</v>
      </c>
      <c r="O11" s="627">
        <f>'F2.2'!V157</f>
        <v>6.2196158915476731</v>
      </c>
      <c r="P11" s="627">
        <f>'F2.2'!W157</f>
        <v>6.5305966861250555</v>
      </c>
      <c r="Q11" s="584"/>
    </row>
    <row r="12" spans="1:18" s="622" customFormat="1" x14ac:dyDescent="0.3">
      <c r="A12" s="623"/>
      <c r="B12" s="114"/>
      <c r="C12" s="114"/>
      <c r="D12" s="624"/>
      <c r="E12" s="624"/>
      <c r="F12" s="624"/>
      <c r="G12" s="582"/>
      <c r="H12" s="582"/>
      <c r="I12" s="582"/>
      <c r="J12" s="582"/>
      <c r="K12" s="582"/>
      <c r="L12" s="582"/>
      <c r="M12" s="582"/>
      <c r="N12" s="582"/>
      <c r="O12" s="582"/>
      <c r="P12" s="582"/>
      <c r="Q12" s="621"/>
    </row>
    <row r="13" spans="1:18" s="630" customFormat="1" ht="17.25" customHeight="1" x14ac:dyDescent="0.3">
      <c r="A13" s="583">
        <v>3</v>
      </c>
      <c r="B13" s="625" t="s">
        <v>418</v>
      </c>
      <c r="C13" s="625"/>
      <c r="D13" s="582"/>
      <c r="E13" s="583"/>
      <c r="F13" s="583"/>
      <c r="G13" s="583"/>
      <c r="H13" s="582"/>
      <c r="I13" s="582"/>
      <c r="J13" s="582"/>
      <c r="K13" s="582"/>
      <c r="L13" s="582"/>
      <c r="M13" s="582"/>
      <c r="N13" s="582"/>
      <c r="O13" s="582"/>
      <c r="P13" s="582"/>
      <c r="Q13" s="584"/>
    </row>
    <row r="14" spans="1:18" s="220" customFormat="1" ht="17.75" customHeight="1" x14ac:dyDescent="0.25">
      <c r="A14" s="1613"/>
      <c r="B14" s="1614"/>
      <c r="C14" s="1614"/>
      <c r="D14" s="1614"/>
      <c r="E14" s="1614"/>
      <c r="F14" s="1614"/>
      <c r="G14" s="1614"/>
      <c r="H14" s="292"/>
      <c r="I14" s="503"/>
      <c r="K14" s="290"/>
      <c r="L14" s="503"/>
      <c r="M14" s="503"/>
      <c r="N14" s="503"/>
      <c r="O14" s="503"/>
      <c r="P14" s="503"/>
    </row>
    <row r="15" spans="1:18" s="220" customFormat="1" ht="17.75" customHeight="1" x14ac:dyDescent="0.25">
      <c r="A15" s="1621" t="s">
        <v>145</v>
      </c>
      <c r="B15" s="1622"/>
      <c r="C15" s="1622"/>
      <c r="D15" s="1622"/>
      <c r="E15" s="503"/>
      <c r="F15" s="503"/>
      <c r="G15" s="503"/>
      <c r="H15" s="503"/>
      <c r="I15" s="503"/>
      <c r="K15" s="290"/>
      <c r="L15" s="503"/>
      <c r="M15" s="503"/>
      <c r="N15" s="503"/>
      <c r="O15" s="503"/>
      <c r="P15" s="503"/>
    </row>
    <row r="16" spans="1:18" s="220" customFormat="1" ht="17.25" customHeight="1" x14ac:dyDescent="0.25">
      <c r="A16" s="1607" t="s">
        <v>1683</v>
      </c>
      <c r="B16" s="1623"/>
      <c r="C16" s="1623"/>
      <c r="D16" s="1623"/>
      <c r="E16" s="503"/>
      <c r="F16" s="503"/>
      <c r="G16" s="503"/>
      <c r="H16" s="503"/>
      <c r="I16" s="503"/>
      <c r="K16" s="290"/>
      <c r="L16" s="503"/>
      <c r="M16" s="503"/>
      <c r="N16" s="503"/>
      <c r="O16" s="503"/>
      <c r="P16" s="503"/>
    </row>
    <row r="17" spans="1:16" s="220" customFormat="1" ht="17.75" customHeight="1" x14ac:dyDescent="0.25">
      <c r="A17" s="1607" t="s">
        <v>1684</v>
      </c>
      <c r="B17" s="1624"/>
      <c r="C17" s="1624"/>
      <c r="D17" s="1624"/>
      <c r="E17" s="503"/>
      <c r="F17" s="503"/>
      <c r="G17" s="503"/>
      <c r="H17" s="503"/>
      <c r="I17" s="503"/>
      <c r="K17" s="290"/>
      <c r="L17" s="503"/>
      <c r="M17" s="503"/>
      <c r="N17" s="503"/>
      <c r="O17" s="503"/>
      <c r="P17" s="503"/>
    </row>
    <row r="18" spans="1:16" s="220" customFormat="1" ht="17.75" customHeight="1" x14ac:dyDescent="0.25">
      <c r="A18" s="1607"/>
      <c r="B18" s="1608"/>
      <c r="C18" s="1608"/>
      <c r="D18" s="1608"/>
      <c r="E18" s="1608"/>
      <c r="F18" s="1608"/>
      <c r="G18" s="1608"/>
      <c r="H18" s="289"/>
      <c r="I18" s="503"/>
      <c r="K18" s="290"/>
      <c r="L18" s="503"/>
      <c r="M18" s="503"/>
      <c r="N18" s="503"/>
      <c r="O18" s="503"/>
      <c r="P18" s="503"/>
    </row>
    <row r="19" spans="1:16" x14ac:dyDescent="0.3">
      <c r="A19" s="166"/>
      <c r="B19" s="164"/>
      <c r="C19" s="164"/>
      <c r="D19" s="164"/>
      <c r="E19" s="164"/>
      <c r="F19" s="164"/>
      <c r="G19" s="167" t="s">
        <v>368</v>
      </c>
      <c r="H19" s="167"/>
    </row>
    <row r="20" spans="1:16" x14ac:dyDescent="0.3">
      <c r="A20" s="164"/>
      <c r="B20" s="164"/>
      <c r="C20" s="164"/>
      <c r="D20" s="164"/>
      <c r="E20" s="164"/>
      <c r="F20" s="164"/>
      <c r="G20" s="164"/>
      <c r="H20" s="164"/>
    </row>
  </sheetData>
  <mergeCells count="18">
    <mergeCell ref="A18:G18"/>
    <mergeCell ref="Q6:Q7"/>
    <mergeCell ref="B6:B7"/>
    <mergeCell ref="A14:G14"/>
    <mergeCell ref="A6:A7"/>
    <mergeCell ref="C6:E6"/>
    <mergeCell ref="I6:K6"/>
    <mergeCell ref="F6:H6"/>
    <mergeCell ref="L6:P6"/>
    <mergeCell ref="A15:D15"/>
    <mergeCell ref="A16:D16"/>
    <mergeCell ref="A17:D17"/>
    <mergeCell ref="A2:H2"/>
    <mergeCell ref="A3:H3"/>
    <mergeCell ref="A4:H4"/>
    <mergeCell ref="J2:Q2"/>
    <mergeCell ref="J3:Q3"/>
    <mergeCell ref="J4:Q4"/>
  </mergeCells>
  <pageMargins left="0.74803149606299213" right="6.4960629921259843" top="0.98425196850393704" bottom="0.98425196850393704" header="0.51181102362204722" footer="0.51181102362204722"/>
  <pageSetup scale="40" fitToHeight="2" orientation="landscape" horizontalDpi="300" verticalDpi="300" r:id="rId1"/>
  <headerFooter alignWithMargins="0">
    <oddHeader>&amp;A</oddHeader>
    <oddFooter>&amp;L&amp;F&amp;C&amp;P/&amp;N&amp;R&amp;D&amp;T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X67"/>
  <sheetViews>
    <sheetView showGridLines="0" view="pageBreakPreview" zoomScale="60" zoomScaleNormal="75" zoomScaleSheetLayoutView="75" workbookViewId="0">
      <pane xSplit="4" ySplit="9" topLeftCell="E38" activePane="bottomRight" state="frozen"/>
      <selection activeCell="I36" sqref="I36"/>
      <selection pane="topRight" activeCell="I36" sqref="I36"/>
      <selection pane="bottomLeft" activeCell="I36" sqref="I36"/>
      <selection pane="bottomRight" activeCell="O48" sqref="O48"/>
    </sheetView>
  </sheetViews>
  <sheetFormatPr defaultColWidth="9.36328125" defaultRowHeight="15.5" x14ac:dyDescent="0.35"/>
  <cols>
    <col min="1" max="1" width="8.1796875" style="1161" bestFit="1" customWidth="1"/>
    <col min="2" max="2" width="7.90625" style="1161" customWidth="1"/>
    <col min="3" max="3" width="55.90625" style="1161" customWidth="1"/>
    <col min="4" max="4" width="9.54296875" style="1161" bestFit="1" customWidth="1"/>
    <col min="5" max="5" width="14.1796875" style="1161" bestFit="1" customWidth="1"/>
    <col min="6" max="6" width="11.08984375" style="1161" bestFit="1" customWidth="1"/>
    <col min="7" max="7" width="12.54296875" style="1161" bestFit="1" customWidth="1"/>
    <col min="8" max="8" width="12.90625" style="1161" bestFit="1" customWidth="1"/>
    <col min="9" max="9" width="10" style="1161" customWidth="1"/>
    <col min="10" max="10" width="12.54296875" style="1161" bestFit="1" customWidth="1"/>
    <col min="11" max="11" width="12.36328125" style="1161" bestFit="1" customWidth="1"/>
    <col min="12" max="12" width="12.90625" style="1161" bestFit="1" customWidth="1"/>
    <col min="13" max="13" width="10.1796875" style="1161" customWidth="1"/>
    <col min="14" max="14" width="11.453125" style="1161" bestFit="1" customWidth="1"/>
    <col min="15" max="15" width="17" style="1161" bestFit="1" customWidth="1"/>
    <col min="16" max="16" width="23.81640625" style="1161" bestFit="1" customWidth="1"/>
    <col min="17" max="17" width="13.54296875" style="1161" bestFit="1" customWidth="1"/>
    <col min="18" max="18" width="19.54296875" style="1161" bestFit="1" customWidth="1"/>
    <col min="19" max="23" width="19.54296875" style="1161" customWidth="1"/>
    <col min="24" max="24" width="14.08984375" style="1161" customWidth="1"/>
    <col min="25" max="16384" width="9.36328125" style="1161"/>
  </cols>
  <sheetData>
    <row r="2" spans="1:24" x14ac:dyDescent="0.35">
      <c r="B2" s="1629" t="str">
        <f>Index!B2</f>
        <v xml:space="preserve">      Maharashtra State Power Generation Company Ltd.</v>
      </c>
      <c r="C2" s="1629"/>
      <c r="D2" s="1629"/>
      <c r="E2" s="1629"/>
      <c r="F2" s="1629"/>
      <c r="G2" s="1629"/>
      <c r="H2" s="1629"/>
      <c r="I2" s="1629"/>
      <c r="J2" s="1629"/>
      <c r="K2" s="1629"/>
      <c r="L2" s="1629"/>
      <c r="M2" s="1162"/>
      <c r="N2" s="1626" t="str">
        <f>B2</f>
        <v xml:space="preserve">      Maharashtra State Power Generation Company Ltd.</v>
      </c>
      <c r="O2" s="1626"/>
      <c r="P2" s="1626"/>
      <c r="Q2" s="1626"/>
      <c r="R2" s="1626"/>
      <c r="S2" s="1626"/>
      <c r="T2" s="1626"/>
      <c r="U2" s="1626"/>
      <c r="V2" s="1626"/>
      <c r="W2" s="1626"/>
      <c r="X2" s="1626"/>
    </row>
    <row r="3" spans="1:24" x14ac:dyDescent="0.35">
      <c r="B3" s="1629" t="str">
        <f>Index!B3</f>
        <v>MYT Petition Formats for Bhusawal Unit 3</v>
      </c>
      <c r="C3" s="1629"/>
      <c r="D3" s="1629"/>
      <c r="E3" s="1629"/>
      <c r="F3" s="1629"/>
      <c r="G3" s="1629"/>
      <c r="H3" s="1629"/>
      <c r="I3" s="1629"/>
      <c r="J3" s="1629"/>
      <c r="K3" s="1629"/>
      <c r="L3" s="1629"/>
      <c r="M3" s="1162"/>
      <c r="N3" s="1626" t="str">
        <f>B3</f>
        <v>MYT Petition Formats for Bhusawal Unit 3</v>
      </c>
      <c r="O3" s="1626"/>
      <c r="P3" s="1626"/>
      <c r="Q3" s="1626"/>
      <c r="R3" s="1626"/>
      <c r="S3" s="1626"/>
      <c r="T3" s="1626"/>
      <c r="U3" s="1626"/>
      <c r="V3" s="1626"/>
      <c r="W3" s="1626"/>
      <c r="X3" s="1626"/>
    </row>
    <row r="4" spans="1:24" x14ac:dyDescent="0.35">
      <c r="B4" s="1629" t="s">
        <v>372</v>
      </c>
      <c r="C4" s="1629"/>
      <c r="D4" s="1629"/>
      <c r="E4" s="1629"/>
      <c r="F4" s="1629"/>
      <c r="G4" s="1629"/>
      <c r="H4" s="1629"/>
      <c r="I4" s="1629"/>
      <c r="J4" s="1629"/>
      <c r="K4" s="1629"/>
      <c r="L4" s="1629"/>
      <c r="M4" s="1162"/>
      <c r="N4" s="1626" t="str">
        <f>B4</f>
        <v>Form 2.1: Operational Parameters for Thermal Generation</v>
      </c>
      <c r="O4" s="1626"/>
      <c r="P4" s="1626"/>
      <c r="Q4" s="1626"/>
      <c r="R4" s="1626"/>
      <c r="S4" s="1626"/>
      <c r="T4" s="1626"/>
      <c r="U4" s="1626"/>
      <c r="V4" s="1626"/>
      <c r="W4" s="1626"/>
      <c r="X4" s="1626"/>
    </row>
    <row r="5" spans="1:24" s="1163" customFormat="1" x14ac:dyDescent="0.25">
      <c r="B5" s="1162"/>
      <c r="C5" s="1162"/>
      <c r="D5" s="1162"/>
      <c r="E5" s="1162"/>
      <c r="F5" s="1162"/>
      <c r="G5" s="1162"/>
      <c r="H5" s="1162"/>
      <c r="I5" s="1162"/>
      <c r="J5" s="1162"/>
      <c r="K5" s="1162"/>
      <c r="L5" s="1162"/>
      <c r="M5" s="1162"/>
      <c r="N5" s="1162"/>
      <c r="O5" s="1162"/>
      <c r="P5" s="1162"/>
      <c r="Q5" s="1162"/>
      <c r="R5" s="1162"/>
      <c r="S5" s="1162"/>
      <c r="T5" s="1162"/>
      <c r="U5" s="1162"/>
      <c r="V5" s="1162"/>
      <c r="W5" s="1162"/>
      <c r="X5" s="1162"/>
    </row>
    <row r="6" spans="1:24" s="1163" customFormat="1" x14ac:dyDescent="0.3">
      <c r="C6" s="1164"/>
      <c r="D6" s="1165"/>
      <c r="E6" s="1165"/>
      <c r="F6" s="1165"/>
      <c r="G6" s="1165"/>
      <c r="H6" s="1165"/>
      <c r="I6" s="1165"/>
      <c r="J6" s="1165"/>
      <c r="K6" s="1165"/>
      <c r="L6" s="1165"/>
    </row>
    <row r="7" spans="1:24" ht="14" customHeight="1" x14ac:dyDescent="0.35">
      <c r="B7" s="1625" t="s">
        <v>340</v>
      </c>
      <c r="C7" s="1627" t="s">
        <v>38</v>
      </c>
      <c r="D7" s="1627" t="s">
        <v>95</v>
      </c>
      <c r="E7" s="1625" t="s">
        <v>505</v>
      </c>
      <c r="F7" s="1625"/>
      <c r="G7" s="1625"/>
      <c r="H7" s="1625"/>
      <c r="I7" s="1625" t="s">
        <v>506</v>
      </c>
      <c r="J7" s="1625"/>
      <c r="K7" s="1625"/>
      <c r="L7" s="1625"/>
      <c r="M7" s="1625" t="s">
        <v>507</v>
      </c>
      <c r="N7" s="1625"/>
      <c r="O7" s="1625"/>
      <c r="P7" s="1625"/>
      <c r="Q7" s="1625"/>
      <c r="R7" s="1625"/>
      <c r="S7" s="1625" t="s">
        <v>1066</v>
      </c>
      <c r="T7" s="1625"/>
      <c r="U7" s="1625"/>
      <c r="V7" s="1625"/>
      <c r="W7" s="1625"/>
      <c r="X7" s="1625" t="s">
        <v>28</v>
      </c>
    </row>
    <row r="8" spans="1:24" s="1165" customFormat="1" ht="45" x14ac:dyDescent="0.25">
      <c r="B8" s="1627"/>
      <c r="C8" s="1627"/>
      <c r="D8" s="1627"/>
      <c r="E8" s="1134" t="s">
        <v>1680</v>
      </c>
      <c r="F8" s="1134" t="s">
        <v>916</v>
      </c>
      <c r="G8" s="1134" t="s">
        <v>80</v>
      </c>
      <c r="H8" s="1134" t="s">
        <v>815</v>
      </c>
      <c r="I8" s="1130" t="s">
        <v>1680</v>
      </c>
      <c r="J8" s="1130" t="s">
        <v>916</v>
      </c>
      <c r="K8" s="1130" t="s">
        <v>80</v>
      </c>
      <c r="L8" s="1130" t="s">
        <v>815</v>
      </c>
      <c r="M8" s="1130" t="s">
        <v>1680</v>
      </c>
      <c r="N8" s="1130" t="s">
        <v>916</v>
      </c>
      <c r="O8" s="1130" t="s">
        <v>443</v>
      </c>
      <c r="P8" s="1130" t="s">
        <v>1058</v>
      </c>
      <c r="Q8" s="1130" t="s">
        <v>81</v>
      </c>
      <c r="R8" s="1130" t="s">
        <v>450</v>
      </c>
      <c r="S8" s="1130" t="s">
        <v>1067</v>
      </c>
      <c r="T8" s="1130" t="s">
        <v>1068</v>
      </c>
      <c r="U8" s="1130" t="s">
        <v>1069</v>
      </c>
      <c r="V8" s="1130" t="s">
        <v>1070</v>
      </c>
      <c r="W8" s="1130" t="s">
        <v>1071</v>
      </c>
      <c r="X8" s="1625"/>
    </row>
    <row r="9" spans="1:24" s="1165" customFormat="1" x14ac:dyDescent="0.25">
      <c r="B9" s="1627"/>
      <c r="C9" s="1627"/>
      <c r="D9" s="1627"/>
      <c r="E9" s="1134" t="s">
        <v>82</v>
      </c>
      <c r="F9" s="1134" t="s">
        <v>83</v>
      </c>
      <c r="G9" s="1134" t="s">
        <v>1675</v>
      </c>
      <c r="H9" s="1134" t="s">
        <v>1676</v>
      </c>
      <c r="I9" s="1130" t="s">
        <v>1577</v>
      </c>
      <c r="J9" s="1130" t="s">
        <v>508</v>
      </c>
      <c r="K9" s="1130" t="s">
        <v>410</v>
      </c>
      <c r="L9" s="1130" t="s">
        <v>1677</v>
      </c>
      <c r="M9" s="1130" t="s">
        <v>588</v>
      </c>
      <c r="N9" s="1130" t="s">
        <v>653</v>
      </c>
      <c r="O9" s="1130" t="s">
        <v>589</v>
      </c>
      <c r="P9" s="1130" t="s">
        <v>590</v>
      </c>
      <c r="Q9" s="1130" t="s">
        <v>677</v>
      </c>
      <c r="R9" s="1130" t="s">
        <v>678</v>
      </c>
      <c r="S9" s="1130" t="s">
        <v>21</v>
      </c>
      <c r="T9" s="1130" t="s">
        <v>21</v>
      </c>
      <c r="U9" s="1130" t="s">
        <v>21</v>
      </c>
      <c r="V9" s="1130" t="s">
        <v>21</v>
      </c>
      <c r="W9" s="1130" t="s">
        <v>21</v>
      </c>
      <c r="X9" s="1628"/>
    </row>
    <row r="10" spans="1:24" s="1165" customFormat="1" x14ac:dyDescent="0.25">
      <c r="B10" s="1135"/>
      <c r="C10" s="1135"/>
      <c r="D10" s="1136"/>
      <c r="E10" s="1136"/>
      <c r="F10" s="1136"/>
      <c r="G10" s="1136"/>
      <c r="H10" s="1136"/>
      <c r="I10" s="367"/>
      <c r="J10" s="367"/>
      <c r="K10" s="367"/>
      <c r="L10" s="367"/>
      <c r="M10" s="1224"/>
      <c r="N10" s="1224"/>
      <c r="O10" s="1224"/>
      <c r="P10" s="1224"/>
      <c r="Q10" s="1224"/>
      <c r="R10" s="1224"/>
      <c r="S10" s="1224"/>
      <c r="T10" s="1224"/>
      <c r="U10" s="1224"/>
      <c r="V10" s="1224"/>
      <c r="W10" s="1224"/>
      <c r="X10" s="375"/>
    </row>
    <row r="11" spans="1:24" s="1165" customFormat="1" x14ac:dyDescent="0.25">
      <c r="B11" s="1137">
        <v>1</v>
      </c>
      <c r="C11" s="369" t="s">
        <v>97</v>
      </c>
      <c r="D11" s="1137" t="s">
        <v>98</v>
      </c>
      <c r="E11" s="1166">
        <f>'F2.2'!E11</f>
        <v>210</v>
      </c>
      <c r="F11" s="1166">
        <f>'F2.2'!F11</f>
        <v>210</v>
      </c>
      <c r="G11" s="1166">
        <f>'F2.2'!G11</f>
        <v>210</v>
      </c>
      <c r="H11" s="1166">
        <f>'F2.2'!H11</f>
        <v>0</v>
      </c>
      <c r="I11" s="1166">
        <f>'F2.2'!I11</f>
        <v>210</v>
      </c>
      <c r="J11" s="1166">
        <f>'F2.2'!J11</f>
        <v>210</v>
      </c>
      <c r="K11" s="1166">
        <f>'F2.2'!K11</f>
        <v>210</v>
      </c>
      <c r="L11" s="1166"/>
      <c r="M11" s="1166">
        <f>'F2.2'!M11</f>
        <v>210</v>
      </c>
      <c r="N11" s="1166">
        <f>'F2.2'!N11</f>
        <v>210</v>
      </c>
      <c r="O11" s="1166">
        <f>'F2.2'!O11</f>
        <v>210</v>
      </c>
      <c r="P11" s="1166">
        <f>'F2.2'!P11</f>
        <v>210</v>
      </c>
      <c r="Q11" s="1166">
        <f>'F2.2'!Q11</f>
        <v>210</v>
      </c>
      <c r="R11" s="1166"/>
      <c r="S11" s="1166">
        <f>'F2.2'!S11</f>
        <v>210</v>
      </c>
      <c r="T11" s="1166">
        <f>'F2.2'!T11</f>
        <v>210</v>
      </c>
      <c r="U11" s="1166">
        <f>'F2.2'!U11</f>
        <v>210</v>
      </c>
      <c r="V11" s="1166">
        <f>'F2.2'!V11</f>
        <v>210</v>
      </c>
      <c r="W11" s="1166">
        <f>'F2.2'!W11</f>
        <v>210</v>
      </c>
      <c r="X11" s="375"/>
    </row>
    <row r="12" spans="1:24" s="1165" customFormat="1" ht="31" x14ac:dyDescent="0.25">
      <c r="B12" s="1137">
        <v>2</v>
      </c>
      <c r="C12" s="369" t="s">
        <v>510</v>
      </c>
      <c r="D12" s="1137"/>
      <c r="E12" s="1138" t="s">
        <v>803</v>
      </c>
      <c r="F12" s="1138" t="s">
        <v>803</v>
      </c>
      <c r="G12" s="1138" t="s">
        <v>803</v>
      </c>
      <c r="H12" s="1138" t="s">
        <v>803</v>
      </c>
      <c r="I12" s="1138" t="s">
        <v>803</v>
      </c>
      <c r="J12" s="1138" t="s">
        <v>803</v>
      </c>
      <c r="K12" s="1138" t="s">
        <v>803</v>
      </c>
      <c r="L12" s="1138" t="s">
        <v>803</v>
      </c>
      <c r="M12" s="1138" t="s">
        <v>803</v>
      </c>
      <c r="N12" s="1138" t="s">
        <v>803</v>
      </c>
      <c r="O12" s="1138" t="s">
        <v>803</v>
      </c>
      <c r="P12" s="1138" t="s">
        <v>803</v>
      </c>
      <c r="Q12" s="1138" t="s">
        <v>803</v>
      </c>
      <c r="R12" s="1138" t="s">
        <v>803</v>
      </c>
      <c r="S12" s="1138" t="s">
        <v>803</v>
      </c>
      <c r="T12" s="1138" t="s">
        <v>803</v>
      </c>
      <c r="U12" s="1138" t="s">
        <v>803</v>
      </c>
      <c r="V12" s="1138" t="s">
        <v>803</v>
      </c>
      <c r="W12" s="1138" t="s">
        <v>803</v>
      </c>
      <c r="X12" s="375"/>
    </row>
    <row r="13" spans="1:24" s="1165" customFormat="1" x14ac:dyDescent="0.25">
      <c r="B13" s="1137"/>
      <c r="C13" s="369"/>
      <c r="D13" s="1137"/>
      <c r="E13" s="1137"/>
      <c r="F13" s="1138"/>
      <c r="G13" s="1138"/>
      <c r="H13" s="1138"/>
      <c r="I13" s="1138"/>
      <c r="J13" s="1138"/>
      <c r="K13" s="1138"/>
      <c r="L13" s="1138"/>
      <c r="M13" s="1138"/>
      <c r="N13" s="1138"/>
      <c r="O13" s="1138"/>
      <c r="P13" s="1138"/>
      <c r="Q13" s="1138"/>
      <c r="R13" s="1138"/>
      <c r="S13" s="1138"/>
      <c r="T13" s="1138"/>
      <c r="U13" s="1138"/>
      <c r="V13" s="1138"/>
      <c r="W13" s="1138"/>
      <c r="X13" s="375"/>
    </row>
    <row r="14" spans="1:24" s="1165" customFormat="1" x14ac:dyDescent="0.25">
      <c r="B14" s="1135">
        <v>2</v>
      </c>
      <c r="C14" s="381" t="s">
        <v>373</v>
      </c>
      <c r="D14" s="1137"/>
      <c r="E14" s="1137"/>
      <c r="F14" s="1137"/>
      <c r="G14" s="1137"/>
      <c r="H14" s="1137"/>
      <c r="I14" s="1137"/>
      <c r="J14" s="1137"/>
      <c r="K14" s="1138"/>
      <c r="L14" s="1137"/>
      <c r="M14" s="1137"/>
      <c r="N14" s="1137"/>
      <c r="O14" s="1138"/>
      <c r="P14" s="1138"/>
      <c r="Q14" s="1137"/>
      <c r="R14" s="1137"/>
      <c r="S14" s="1137"/>
      <c r="T14" s="1137"/>
      <c r="U14" s="1137"/>
      <c r="V14" s="1137"/>
      <c r="W14" s="1137"/>
      <c r="X14" s="375"/>
    </row>
    <row r="15" spans="1:24" s="1168" customFormat="1" x14ac:dyDescent="0.25">
      <c r="A15" s="1165"/>
      <c r="B15" s="1137">
        <f>B14+0.1</f>
        <v>2.1</v>
      </c>
      <c r="C15" s="1139" t="s">
        <v>99</v>
      </c>
      <c r="D15" s="1139" t="s">
        <v>100</v>
      </c>
      <c r="E15" s="509">
        <v>0.8</v>
      </c>
      <c r="F15" s="509">
        <v>0.8</v>
      </c>
      <c r="G15" s="509">
        <f>F15</f>
        <v>0.8</v>
      </c>
      <c r="H15" s="509"/>
      <c r="I15" s="509">
        <v>0.8</v>
      </c>
      <c r="J15" s="509">
        <v>0.8</v>
      </c>
      <c r="K15" s="509">
        <f>J15</f>
        <v>0.8</v>
      </c>
      <c r="L15" s="509"/>
      <c r="M15" s="509">
        <v>0.8</v>
      </c>
      <c r="N15" s="509">
        <v>0.8</v>
      </c>
      <c r="O15" s="509">
        <f>N15</f>
        <v>0.8</v>
      </c>
      <c r="P15" s="509">
        <f>N15</f>
        <v>0.8</v>
      </c>
      <c r="Q15" s="509">
        <f>N15</f>
        <v>0.8</v>
      </c>
      <c r="R15" s="1141"/>
      <c r="S15" s="1141">
        <v>0.8</v>
      </c>
      <c r="T15" s="1141">
        <v>0.8</v>
      </c>
      <c r="U15" s="1141">
        <v>0.8</v>
      </c>
      <c r="V15" s="1141">
        <v>0.8</v>
      </c>
      <c r="W15" s="1141">
        <v>0.8</v>
      </c>
      <c r="X15" s="1167"/>
    </row>
    <row r="16" spans="1:24" s="1165" customFormat="1" x14ac:dyDescent="0.25">
      <c r="B16" s="1137">
        <v>2.2000000000000002</v>
      </c>
      <c r="C16" s="369" t="s">
        <v>685</v>
      </c>
      <c r="D16" s="1137" t="s">
        <v>100</v>
      </c>
      <c r="E16" s="509"/>
      <c r="F16" s="509">
        <f>G16</f>
        <v>0.56784999999999997</v>
      </c>
      <c r="G16" s="509">
        <v>0.56784999999999997</v>
      </c>
      <c r="H16" s="509">
        <f t="shared" ref="H16" si="0">G16-F16</f>
        <v>0</v>
      </c>
      <c r="I16" s="509"/>
      <c r="J16" s="509">
        <f>K16</f>
        <v>0.62078</v>
      </c>
      <c r="K16" s="509">
        <v>0.62078</v>
      </c>
      <c r="L16" s="509">
        <f t="shared" ref="L16" si="1">K16-J16</f>
        <v>0</v>
      </c>
      <c r="M16" s="509"/>
      <c r="N16" s="509">
        <f>Q16</f>
        <v>0.67519300587732012</v>
      </c>
      <c r="O16" s="509">
        <v>0.7634701775956283</v>
      </c>
      <c r="P16" s="509">
        <v>0.79949372626845128</v>
      </c>
      <c r="Q16" s="1140">
        <v>0.67519300587732012</v>
      </c>
      <c r="R16" s="1141">
        <f t="shared" ref="R16" si="2">Q16-N16</f>
        <v>0</v>
      </c>
      <c r="S16" s="1141">
        <v>0.80028597075753394</v>
      </c>
      <c r="T16" s="1141">
        <v>0.8002561859553543</v>
      </c>
      <c r="U16" s="1141">
        <v>0.8002561859553543</v>
      </c>
      <c r="V16" s="1141">
        <v>0.8002561859553543</v>
      </c>
      <c r="W16" s="1141">
        <v>0.8002561859553543</v>
      </c>
      <c r="X16" s="603"/>
    </row>
    <row r="17" spans="1:24" s="1165" customFormat="1" x14ac:dyDescent="0.25">
      <c r="B17" s="1137" t="s">
        <v>117</v>
      </c>
      <c r="C17" s="369" t="s">
        <v>643</v>
      </c>
      <c r="D17" s="1137"/>
      <c r="E17" s="509"/>
      <c r="F17" s="509"/>
      <c r="G17" s="509"/>
      <c r="H17" s="509"/>
      <c r="I17" s="509"/>
      <c r="J17" s="509"/>
      <c r="K17" s="509"/>
      <c r="L17" s="509"/>
      <c r="M17" s="509"/>
      <c r="N17" s="509"/>
      <c r="O17" s="509"/>
      <c r="P17" s="509"/>
      <c r="Q17" s="1142"/>
      <c r="R17" s="1142"/>
      <c r="S17" s="1142"/>
      <c r="T17" s="1142"/>
      <c r="U17" s="1142"/>
      <c r="V17" s="1142"/>
      <c r="W17" s="1142"/>
      <c r="X17" s="379"/>
    </row>
    <row r="18" spans="1:24" s="1165" customFormat="1" x14ac:dyDescent="0.25">
      <c r="B18" s="1137"/>
      <c r="C18" s="369" t="s">
        <v>644</v>
      </c>
      <c r="D18" s="1137" t="s">
        <v>100</v>
      </c>
      <c r="E18" s="509"/>
      <c r="F18" s="509"/>
      <c r="G18" s="509">
        <f>'F2.2'!G15</f>
        <v>0.61107</v>
      </c>
      <c r="H18" s="509">
        <f t="shared" ref="H18:H22" si="3">G18-F18</f>
        <v>0.61107</v>
      </c>
      <c r="I18" s="509"/>
      <c r="J18" s="509"/>
      <c r="K18" s="509">
        <f>'F2.2'!K15</f>
        <v>0.78910999999999998</v>
      </c>
      <c r="L18" s="509">
        <f t="shared" ref="L18:L22" si="4">K18-J18</f>
        <v>0.78910999999999998</v>
      </c>
      <c r="M18" s="509"/>
      <c r="N18" s="509"/>
      <c r="O18" s="509">
        <f>'F2.2'!O15</f>
        <v>0</v>
      </c>
      <c r="P18" s="509">
        <f>'F2.2'!P15</f>
        <v>0</v>
      </c>
      <c r="Q18" s="1142">
        <f t="shared" ref="Q18:Q22" si="5">O18+P18</f>
        <v>0</v>
      </c>
      <c r="R18" s="1142"/>
      <c r="S18" s="1142">
        <f>'F2.2'!S15</f>
        <v>0</v>
      </c>
      <c r="T18" s="1142">
        <f>'F2.2'!T15</f>
        <v>0</v>
      </c>
      <c r="U18" s="1142">
        <f>'F2.2'!U15</f>
        <v>0</v>
      </c>
      <c r="V18" s="1142">
        <f>'F2.2'!V15</f>
        <v>0</v>
      </c>
      <c r="W18" s="1142">
        <f>'F2.2'!W15</f>
        <v>0</v>
      </c>
      <c r="X18" s="379"/>
    </row>
    <row r="19" spans="1:24" s="1165" customFormat="1" x14ac:dyDescent="0.25">
      <c r="B19" s="1137"/>
      <c r="C19" s="369" t="s">
        <v>645</v>
      </c>
      <c r="D19" s="1137" t="s">
        <v>100</v>
      </c>
      <c r="E19" s="509"/>
      <c r="F19" s="509"/>
      <c r="G19" s="509">
        <f>'F2.2'!G16</f>
        <v>0.61043999999999998</v>
      </c>
      <c r="H19" s="509">
        <f t="shared" si="3"/>
        <v>0.61043999999999998</v>
      </c>
      <c r="I19" s="509"/>
      <c r="J19" s="509"/>
      <c r="K19" s="509">
        <f>'F2.2'!K16</f>
        <v>0.79518999999999995</v>
      </c>
      <c r="L19" s="509">
        <f t="shared" si="4"/>
        <v>0.79518999999999995</v>
      </c>
      <c r="M19" s="509"/>
      <c r="N19" s="509"/>
      <c r="O19" s="509">
        <f>'F2.2'!O16</f>
        <v>0</v>
      </c>
      <c r="P19" s="509">
        <f>'F2.2'!P16</f>
        <v>0</v>
      </c>
      <c r="Q19" s="1142">
        <f t="shared" si="5"/>
        <v>0</v>
      </c>
      <c r="R19" s="1142"/>
      <c r="S19" s="1142">
        <f>'F2.2'!S16</f>
        <v>0</v>
      </c>
      <c r="T19" s="1142">
        <f>'F2.2'!T16</f>
        <v>0</v>
      </c>
      <c r="U19" s="1142">
        <f>'F2.2'!U16</f>
        <v>0</v>
      </c>
      <c r="V19" s="1142">
        <f>'F2.2'!V16</f>
        <v>0</v>
      </c>
      <c r="W19" s="1142">
        <f>'F2.2'!W16</f>
        <v>0</v>
      </c>
      <c r="X19" s="379"/>
    </row>
    <row r="20" spans="1:24" s="1165" customFormat="1" x14ac:dyDescent="0.25">
      <c r="B20" s="1137" t="s">
        <v>119</v>
      </c>
      <c r="C20" s="369" t="s">
        <v>646</v>
      </c>
      <c r="D20" s="1137"/>
      <c r="E20" s="509"/>
      <c r="F20" s="509"/>
      <c r="G20" s="509"/>
      <c r="H20" s="509"/>
      <c r="I20" s="509"/>
      <c r="J20" s="509"/>
      <c r="K20" s="509"/>
      <c r="L20" s="509"/>
      <c r="M20" s="509"/>
      <c r="N20" s="509"/>
      <c r="O20" s="509"/>
      <c r="P20" s="509"/>
      <c r="Q20" s="1142"/>
      <c r="R20" s="1142"/>
      <c r="S20" s="1142"/>
      <c r="T20" s="1142"/>
      <c r="U20" s="1142"/>
      <c r="V20" s="1142"/>
      <c r="W20" s="1142"/>
      <c r="X20" s="379"/>
    </row>
    <row r="21" spans="1:24" s="1165" customFormat="1" x14ac:dyDescent="0.25">
      <c r="B21" s="1137"/>
      <c r="C21" s="369" t="s">
        <v>644</v>
      </c>
      <c r="D21" s="1137" t="s">
        <v>100</v>
      </c>
      <c r="E21" s="509"/>
      <c r="F21" s="509"/>
      <c r="G21" s="509">
        <f>'F2.2'!G18</f>
        <v>0.55110999999999999</v>
      </c>
      <c r="H21" s="509">
        <f t="shared" si="3"/>
        <v>0.55110999999999999</v>
      </c>
      <c r="I21" s="509"/>
      <c r="J21" s="509"/>
      <c r="K21" s="509">
        <f>'F2.2'!K18</f>
        <v>0.56247000000000003</v>
      </c>
      <c r="L21" s="509">
        <f t="shared" si="4"/>
        <v>0.56247000000000003</v>
      </c>
      <c r="M21" s="509"/>
      <c r="N21" s="509"/>
      <c r="O21" s="509">
        <f>'F2.2'!O18</f>
        <v>0</v>
      </c>
      <c r="P21" s="509">
        <f>'F2.2'!P18</f>
        <v>0</v>
      </c>
      <c r="Q21" s="1142">
        <f t="shared" si="5"/>
        <v>0</v>
      </c>
      <c r="R21" s="1142"/>
      <c r="S21" s="1142">
        <f>'F2.2'!S18</f>
        <v>0</v>
      </c>
      <c r="T21" s="1142">
        <f>'F2.2'!T18</f>
        <v>0</v>
      </c>
      <c r="U21" s="1142">
        <f>'F2.2'!U18</f>
        <v>0</v>
      </c>
      <c r="V21" s="1142">
        <f>'F2.2'!V18</f>
        <v>0</v>
      </c>
      <c r="W21" s="1142">
        <f>'F2.2'!W18</f>
        <v>0</v>
      </c>
      <c r="X21" s="379"/>
    </row>
    <row r="22" spans="1:24" s="1165" customFormat="1" x14ac:dyDescent="0.25">
      <c r="B22" s="1137"/>
      <c r="C22" s="369" t="s">
        <v>645</v>
      </c>
      <c r="D22" s="1137" t="s">
        <v>100</v>
      </c>
      <c r="E22" s="509"/>
      <c r="F22" s="509"/>
      <c r="G22" s="509">
        <f>'F2.2'!G19</f>
        <v>0.55418000000000001</v>
      </c>
      <c r="H22" s="509">
        <f t="shared" si="3"/>
        <v>0.55418000000000001</v>
      </c>
      <c r="I22" s="509"/>
      <c r="J22" s="509"/>
      <c r="K22" s="509">
        <f>'F2.2'!K19</f>
        <v>0.56257999999999997</v>
      </c>
      <c r="L22" s="509">
        <f t="shared" si="4"/>
        <v>0.56257999999999997</v>
      </c>
      <c r="M22" s="509"/>
      <c r="N22" s="509"/>
      <c r="O22" s="509">
        <f>'F2.2'!O19</f>
        <v>0</v>
      </c>
      <c r="P22" s="509">
        <f>'F2.2'!P19</f>
        <v>0</v>
      </c>
      <c r="Q22" s="1142">
        <f t="shared" si="5"/>
        <v>0</v>
      </c>
      <c r="R22" s="1142"/>
      <c r="S22" s="1142">
        <f>'F2.2'!S19</f>
        <v>0</v>
      </c>
      <c r="T22" s="1142">
        <f>'F2.2'!T19</f>
        <v>0</v>
      </c>
      <c r="U22" s="1142">
        <f>'F2.2'!U19</f>
        <v>0</v>
      </c>
      <c r="V22" s="1142">
        <f>'F2.2'!V19</f>
        <v>0</v>
      </c>
      <c r="W22" s="1142">
        <f>'F2.2'!W19</f>
        <v>0</v>
      </c>
      <c r="X22" s="379"/>
    </row>
    <row r="23" spans="1:24" s="1165" customFormat="1" x14ac:dyDescent="0.25">
      <c r="B23" s="1137"/>
      <c r="C23" s="369"/>
      <c r="D23" s="1137"/>
      <c r="E23" s="509"/>
      <c r="F23" s="509"/>
      <c r="G23" s="509"/>
      <c r="H23" s="509"/>
      <c r="I23" s="509"/>
      <c r="J23" s="509"/>
      <c r="K23" s="509"/>
      <c r="L23" s="509"/>
      <c r="M23" s="509"/>
      <c r="N23" s="509"/>
      <c r="O23" s="509"/>
      <c r="P23" s="509"/>
      <c r="Q23" s="1142"/>
      <c r="R23" s="1142"/>
      <c r="S23" s="1142"/>
      <c r="T23" s="1142"/>
      <c r="U23" s="1142"/>
      <c r="V23" s="1142"/>
      <c r="W23" s="1142"/>
      <c r="X23" s="379"/>
    </row>
    <row r="24" spans="1:24" s="1165" customFormat="1" x14ac:dyDescent="0.25">
      <c r="B24" s="1135">
        <v>3</v>
      </c>
      <c r="C24" s="381" t="s">
        <v>374</v>
      </c>
      <c r="D24" s="1137"/>
      <c r="E24" s="401"/>
      <c r="F24" s="509"/>
      <c r="G24" s="509"/>
      <c r="H24" s="509"/>
      <c r="I24" s="1143"/>
      <c r="J24" s="509"/>
      <c r="K24" s="509"/>
      <c r="L24" s="509"/>
      <c r="M24" s="1144"/>
      <c r="N24" s="509"/>
      <c r="O24" s="509"/>
      <c r="P24" s="509"/>
      <c r="Q24" s="1142"/>
      <c r="R24" s="1142"/>
      <c r="S24" s="1142"/>
      <c r="T24" s="1142"/>
      <c r="U24" s="1142"/>
      <c r="V24" s="1142"/>
      <c r="W24" s="1142"/>
      <c r="X24" s="379"/>
    </row>
    <row r="25" spans="1:24" s="1169" customFormat="1" x14ac:dyDescent="0.35">
      <c r="A25" s="1165"/>
      <c r="B25" s="1145">
        <f>B24+0.1</f>
        <v>3.1</v>
      </c>
      <c r="C25" s="1146" t="s">
        <v>101</v>
      </c>
      <c r="D25" s="1147" t="s">
        <v>100</v>
      </c>
      <c r="E25" s="509">
        <v>0.85</v>
      </c>
      <c r="F25" s="509">
        <f>E25</f>
        <v>0.85</v>
      </c>
      <c r="G25" s="604"/>
      <c r="H25" s="509"/>
      <c r="I25" s="509">
        <v>0.85</v>
      </c>
      <c r="J25" s="509">
        <f>I25</f>
        <v>0.85</v>
      </c>
      <c r="K25" s="509"/>
      <c r="L25" s="509"/>
      <c r="M25" s="509">
        <v>0.85</v>
      </c>
      <c r="N25" s="509">
        <f>M25</f>
        <v>0.85</v>
      </c>
      <c r="O25" s="509"/>
      <c r="P25" s="509"/>
      <c r="Q25" s="509"/>
      <c r="R25" s="1142"/>
      <c r="S25" s="1142">
        <v>0.85</v>
      </c>
      <c r="T25" s="1142">
        <v>0.85</v>
      </c>
      <c r="U25" s="1142">
        <v>0.85</v>
      </c>
      <c r="V25" s="1142">
        <v>0.85</v>
      </c>
      <c r="W25" s="1142">
        <v>0.85</v>
      </c>
      <c r="X25" s="454"/>
    </row>
    <row r="26" spans="1:24" s="1170" customFormat="1" x14ac:dyDescent="0.25">
      <c r="A26" s="1165"/>
      <c r="B26" s="1148">
        <v>3.2</v>
      </c>
      <c r="C26" s="1139" t="s">
        <v>688</v>
      </c>
      <c r="D26" s="1139" t="s">
        <v>100</v>
      </c>
      <c r="E26" s="509">
        <v>0.70149500000000009</v>
      </c>
      <c r="F26" s="509">
        <f>G26</f>
        <v>0.39032</v>
      </c>
      <c r="G26" s="509">
        <v>0.39032</v>
      </c>
      <c r="H26" s="509">
        <f>G26-F26</f>
        <v>0</v>
      </c>
      <c r="I26" s="1143">
        <v>0.70149500000000009</v>
      </c>
      <c r="J26" s="509">
        <f>K26</f>
        <v>0.54808999999999997</v>
      </c>
      <c r="K26" s="509">
        <v>0.54808999999999997</v>
      </c>
      <c r="L26" s="509">
        <f>K26-J26</f>
        <v>0</v>
      </c>
      <c r="M26" s="1144">
        <v>0.70149500000000009</v>
      </c>
      <c r="N26" s="509">
        <f>Q26</f>
        <v>0.67519300587732012</v>
      </c>
      <c r="O26" s="509">
        <v>0.53799572677595642</v>
      </c>
      <c r="P26" s="509">
        <v>0.79949372626845128</v>
      </c>
      <c r="Q26" s="509">
        <v>0.67519300587732012</v>
      </c>
      <c r="R26" s="1142">
        <f>Q26-N26</f>
        <v>0</v>
      </c>
      <c r="S26" s="1142">
        <v>0.80028597075753394</v>
      </c>
      <c r="T26" s="1142">
        <v>0.8002561859553543</v>
      </c>
      <c r="U26" s="1142">
        <v>0.8002561859553543</v>
      </c>
      <c r="V26" s="1142">
        <v>0.8002561859553543</v>
      </c>
      <c r="W26" s="1142">
        <v>0.8002561859553543</v>
      </c>
      <c r="X26" s="454"/>
    </row>
    <row r="27" spans="1:24" s="1165" customFormat="1" x14ac:dyDescent="0.25">
      <c r="B27" s="1137">
        <v>3.3</v>
      </c>
      <c r="C27" s="401" t="s">
        <v>681</v>
      </c>
      <c r="D27" s="1137" t="s">
        <v>100</v>
      </c>
      <c r="E27" s="1137"/>
      <c r="F27" s="435"/>
      <c r="G27" s="435"/>
      <c r="H27" s="435"/>
      <c r="I27" s="770"/>
      <c r="J27" s="509"/>
      <c r="K27" s="435"/>
      <c r="L27" s="509"/>
      <c r="M27" s="1143"/>
      <c r="N27" s="509"/>
      <c r="O27" s="435"/>
      <c r="P27" s="435"/>
      <c r="Q27" s="435"/>
      <c r="R27" s="435"/>
      <c r="S27" s="435"/>
      <c r="T27" s="435"/>
      <c r="U27" s="435"/>
      <c r="V27" s="435"/>
      <c r="W27" s="435"/>
      <c r="X27" s="379"/>
    </row>
    <row r="28" spans="1:24" s="1165" customFormat="1" x14ac:dyDescent="0.25">
      <c r="B28" s="1137"/>
      <c r="C28" s="369"/>
      <c r="D28" s="1137"/>
      <c r="E28" s="1137"/>
      <c r="F28" s="401"/>
      <c r="G28" s="401"/>
      <c r="H28" s="401"/>
      <c r="I28" s="401"/>
      <c r="J28" s="401"/>
      <c r="K28" s="1151"/>
      <c r="L28" s="401"/>
      <c r="M28" s="1149"/>
      <c r="N28" s="401"/>
      <c r="O28" s="1151"/>
      <c r="P28" s="1151"/>
      <c r="Q28" s="1149"/>
      <c r="R28" s="1149"/>
      <c r="S28" s="1149"/>
      <c r="T28" s="1149"/>
      <c r="U28" s="1149"/>
      <c r="V28" s="1149"/>
      <c r="W28" s="1149"/>
      <c r="X28" s="379"/>
    </row>
    <row r="29" spans="1:24" s="1165" customFormat="1" x14ac:dyDescent="0.25">
      <c r="B29" s="1135">
        <v>4</v>
      </c>
      <c r="C29" s="381" t="s">
        <v>159</v>
      </c>
      <c r="D29" s="1137"/>
      <c r="E29" s="1137"/>
      <c r="F29" s="401"/>
      <c r="G29" s="401"/>
      <c r="H29" s="401"/>
      <c r="I29" s="401"/>
      <c r="J29" s="401"/>
      <c r="K29" s="1151"/>
      <c r="L29" s="401"/>
      <c r="M29" s="1149"/>
      <c r="N29" s="401"/>
      <c r="O29" s="1151"/>
      <c r="P29" s="1151"/>
      <c r="Q29" s="1149"/>
      <c r="R29" s="1149"/>
      <c r="S29" s="1149"/>
      <c r="T29" s="1149"/>
      <c r="U29" s="1149"/>
      <c r="V29" s="1149"/>
      <c r="W29" s="1149"/>
      <c r="X29" s="379"/>
    </row>
    <row r="30" spans="1:24" s="1165" customFormat="1" x14ac:dyDescent="0.25">
      <c r="B30" s="1137">
        <f>B29+0.1</f>
        <v>4.0999999999999996</v>
      </c>
      <c r="C30" s="369" t="s">
        <v>689</v>
      </c>
      <c r="D30" s="1137" t="s">
        <v>102</v>
      </c>
      <c r="E30" s="610">
        <v>1145.6976487747097</v>
      </c>
      <c r="F30" s="1150">
        <f>G30</f>
        <v>715.52599999999995</v>
      </c>
      <c r="G30" s="1150">
        <v>715.52599999999995</v>
      </c>
      <c r="H30" s="1150">
        <f>G30-F30</f>
        <v>0</v>
      </c>
      <c r="I30" s="1151">
        <v>1471.1528447517178</v>
      </c>
      <c r="J30" s="1150">
        <f>K30</f>
        <v>1016.0400000000002</v>
      </c>
      <c r="K30" s="1150">
        <v>1016.0400000000002</v>
      </c>
      <c r="L30" s="1150">
        <f>K30-J30</f>
        <v>0</v>
      </c>
      <c r="M30" s="1152">
        <v>1467.1333014600464</v>
      </c>
      <c r="N30" s="1150">
        <f>'F2.2'!N23</f>
        <v>1242.0850536119181</v>
      </c>
      <c r="O30" s="1150">
        <f>'F2.2'!O23</f>
        <v>504.69600000000003</v>
      </c>
      <c r="P30" s="1150">
        <f>'F2.2'!P23</f>
        <v>737.38905361191803</v>
      </c>
      <c r="Q30" s="1153">
        <f>O30+P30</f>
        <v>1242.0850536119181</v>
      </c>
      <c r="R30" s="1154">
        <f>Q30-N30</f>
        <v>0</v>
      </c>
      <c r="S30" s="1154">
        <v>1472.2060718055593</v>
      </c>
      <c r="T30" s="1154">
        <v>1472.1512796834697</v>
      </c>
      <c r="U30" s="1154">
        <v>1472.1512796834697</v>
      </c>
      <c r="V30" s="1154">
        <v>1472.1512796834697</v>
      </c>
      <c r="W30" s="1154">
        <v>1472.1512796834697</v>
      </c>
      <c r="X30" s="379"/>
    </row>
    <row r="31" spans="1:24" s="1165" customFormat="1" x14ac:dyDescent="0.25">
      <c r="B31" s="1137">
        <v>4.2</v>
      </c>
      <c r="C31" s="369" t="s">
        <v>694</v>
      </c>
      <c r="D31" s="1137" t="s">
        <v>102</v>
      </c>
      <c r="E31" s="1155"/>
      <c r="F31" s="502">
        <v>1471.68</v>
      </c>
      <c r="G31" s="502"/>
      <c r="H31" s="502"/>
      <c r="I31" s="610"/>
      <c r="J31" s="502">
        <v>1475.712</v>
      </c>
      <c r="K31" s="502"/>
      <c r="L31" s="1150"/>
      <c r="M31" s="1152"/>
      <c r="N31" s="502">
        <f>'F2.2'!N24</f>
        <v>0</v>
      </c>
      <c r="O31" s="502"/>
      <c r="P31" s="502">
        <f>'F2.2'!P24</f>
        <v>0</v>
      </c>
      <c r="Q31" s="502">
        <f>O31+P31</f>
        <v>0</v>
      </c>
      <c r="R31" s="502">
        <f>Q31-N31</f>
        <v>0</v>
      </c>
      <c r="S31" s="1154">
        <f>'F2.2'!S24</f>
        <v>0</v>
      </c>
      <c r="T31" s="1154">
        <f>'F2.2'!T24</f>
        <v>0</v>
      </c>
      <c r="U31" s="1154">
        <f>'F2.2'!U24</f>
        <v>0</v>
      </c>
      <c r="V31" s="1154">
        <f>'F2.2'!V24</f>
        <v>0</v>
      </c>
      <c r="W31" s="1154">
        <f>'F2.2'!W24</f>
        <v>0</v>
      </c>
      <c r="X31" s="379"/>
    </row>
    <row r="32" spans="1:24" s="1165" customFormat="1" x14ac:dyDescent="0.25">
      <c r="B32" s="1137"/>
      <c r="C32" s="369"/>
      <c r="D32" s="1137"/>
      <c r="E32" s="1137"/>
      <c r="F32" s="401"/>
      <c r="G32" s="1151"/>
      <c r="H32" s="401"/>
      <c r="I32" s="401"/>
      <c r="J32" s="401"/>
      <c r="K32" s="1151"/>
      <c r="L32" s="401"/>
      <c r="M32" s="1149"/>
      <c r="N32" s="1149"/>
      <c r="O32" s="1151"/>
      <c r="P32" s="1151"/>
      <c r="Q32" s="1149"/>
      <c r="R32" s="1149"/>
      <c r="S32" s="1149"/>
      <c r="T32" s="1149"/>
      <c r="U32" s="1149"/>
      <c r="V32" s="1149"/>
      <c r="W32" s="1149"/>
      <c r="X32" s="379"/>
    </row>
    <row r="33" spans="1:24" s="1165" customFormat="1" x14ac:dyDescent="0.25">
      <c r="B33" s="1135">
        <v>5</v>
      </c>
      <c r="C33" s="381" t="s">
        <v>358</v>
      </c>
      <c r="D33" s="1137"/>
      <c r="E33" s="1137"/>
      <c r="F33" s="401"/>
      <c r="G33" s="1151"/>
      <c r="H33" s="401"/>
      <c r="I33" s="401"/>
      <c r="J33" s="401"/>
      <c r="K33" s="1151"/>
      <c r="L33" s="401"/>
      <c r="M33" s="1149"/>
      <c r="N33" s="1149"/>
      <c r="O33" s="1151"/>
      <c r="P33" s="1151"/>
      <c r="Q33" s="1149"/>
      <c r="R33" s="1149"/>
      <c r="S33" s="1149"/>
      <c r="T33" s="1149"/>
      <c r="U33" s="1149"/>
      <c r="V33" s="1149"/>
      <c r="W33" s="1149"/>
      <c r="X33" s="379"/>
    </row>
    <row r="34" spans="1:24" s="1172" customFormat="1" x14ac:dyDescent="0.25">
      <c r="A34" s="1171"/>
      <c r="B34" s="1156">
        <f>B33+0.1</f>
        <v>5.0999999999999996</v>
      </c>
      <c r="C34" s="509" t="s">
        <v>1096</v>
      </c>
      <c r="D34" s="509" t="s">
        <v>100</v>
      </c>
      <c r="E34" s="509">
        <v>0.1096</v>
      </c>
      <c r="F34" s="509">
        <v>0.1096</v>
      </c>
      <c r="G34" s="509">
        <f>F34</f>
        <v>0.1096</v>
      </c>
      <c r="H34" s="509"/>
      <c r="I34" s="509">
        <v>0.1096</v>
      </c>
      <c r="J34" s="509">
        <v>0.1096</v>
      </c>
      <c r="K34" s="509">
        <f>J34</f>
        <v>0.1096</v>
      </c>
      <c r="L34" s="509">
        <f t="shared" ref="L34:L40" si="6">K34-J34</f>
        <v>0</v>
      </c>
      <c r="M34" s="509">
        <v>0.1096</v>
      </c>
      <c r="N34" s="509">
        <v>0.1096</v>
      </c>
      <c r="O34" s="509">
        <f>'F2.2'!O25</f>
        <v>0</v>
      </c>
      <c r="P34" s="509">
        <f>'F2.2'!P25</f>
        <v>0</v>
      </c>
      <c r="Q34" s="509">
        <f>'F2.2'!Q25</f>
        <v>0</v>
      </c>
      <c r="R34" s="509">
        <f>Q34-N34</f>
        <v>-0.1096</v>
      </c>
      <c r="S34" s="509">
        <v>0.1096</v>
      </c>
      <c r="T34" s="509">
        <v>0.1096</v>
      </c>
      <c r="U34" s="509">
        <v>0.1096</v>
      </c>
      <c r="V34" s="509">
        <v>0.1096</v>
      </c>
      <c r="W34" s="509">
        <v>0.1096</v>
      </c>
      <c r="X34" s="510"/>
    </row>
    <row r="35" spans="1:24" s="1165" customFormat="1" x14ac:dyDescent="0.25">
      <c r="B35" s="1137">
        <v>5.2</v>
      </c>
      <c r="C35" s="369" t="s">
        <v>690</v>
      </c>
      <c r="D35" s="1137" t="s">
        <v>100</v>
      </c>
      <c r="E35" s="509"/>
      <c r="F35" s="509"/>
      <c r="G35" s="509"/>
      <c r="H35" s="509"/>
      <c r="I35" s="509"/>
      <c r="J35" s="509">
        <f>'F2.2'!J26</f>
        <v>0</v>
      </c>
      <c r="K35" s="509"/>
      <c r="L35" s="509">
        <f t="shared" si="6"/>
        <v>0</v>
      </c>
      <c r="M35" s="509"/>
      <c r="N35" s="509">
        <f>'F2.2'!N26</f>
        <v>0</v>
      </c>
      <c r="O35" s="509"/>
      <c r="P35" s="509"/>
      <c r="Q35" s="509"/>
      <c r="R35" s="509"/>
      <c r="S35" s="509">
        <f>'F2.2'!S26</f>
        <v>0</v>
      </c>
      <c r="T35" s="509">
        <f>'F2.2'!T26</f>
        <v>0</v>
      </c>
      <c r="U35" s="509">
        <f>'F2.2'!U26</f>
        <v>0</v>
      </c>
      <c r="V35" s="509">
        <f>'F2.2'!V26</f>
        <v>0</v>
      </c>
      <c r="W35" s="509">
        <f>'F2.2'!W26</f>
        <v>0</v>
      </c>
      <c r="X35" s="379"/>
    </row>
    <row r="36" spans="1:24" s="1165" customFormat="1" ht="31" x14ac:dyDescent="0.25">
      <c r="B36" s="1137"/>
      <c r="C36" s="369" t="s">
        <v>1087</v>
      </c>
      <c r="D36" s="1137" t="s">
        <v>100</v>
      </c>
      <c r="E36" s="509"/>
      <c r="F36" s="509"/>
      <c r="G36" s="509"/>
      <c r="H36" s="509"/>
      <c r="I36" s="509"/>
      <c r="J36" s="509">
        <f>'F2.2'!J27</f>
        <v>0</v>
      </c>
      <c r="K36" s="509"/>
      <c r="L36" s="509"/>
      <c r="M36" s="509"/>
      <c r="N36" s="509">
        <f>'F2.2'!N27</f>
        <v>0</v>
      </c>
      <c r="O36" s="509"/>
      <c r="P36" s="509"/>
      <c r="Q36" s="1142"/>
      <c r="R36" s="509"/>
      <c r="S36" s="509"/>
      <c r="T36" s="509"/>
      <c r="U36" s="509"/>
      <c r="V36" s="509"/>
      <c r="W36" s="509"/>
      <c r="X36" s="379"/>
    </row>
    <row r="37" spans="1:24" s="1165" customFormat="1" x14ac:dyDescent="0.25">
      <c r="B37" s="1137"/>
      <c r="C37" s="369" t="s">
        <v>1088</v>
      </c>
      <c r="D37" s="1137" t="s">
        <v>100</v>
      </c>
      <c r="E37" s="509">
        <f>SUM(E34:E36)</f>
        <v>0.1096</v>
      </c>
      <c r="F37" s="509">
        <f>SUM(F34:F36)</f>
        <v>0.1096</v>
      </c>
      <c r="G37" s="509"/>
      <c r="H37" s="509"/>
      <c r="I37" s="509">
        <f>SUM(I34:I36)</f>
        <v>0.1096</v>
      </c>
      <c r="J37" s="509">
        <f>SUM(J34:J36)</f>
        <v>0.1096</v>
      </c>
      <c r="K37" s="509"/>
      <c r="L37" s="509"/>
      <c r="M37" s="509">
        <f>SUM(M34:M36)</f>
        <v>0.1096</v>
      </c>
      <c r="N37" s="509">
        <f>SUM(N34:N36)</f>
        <v>0.1096</v>
      </c>
      <c r="O37" s="509"/>
      <c r="P37" s="509"/>
      <c r="Q37" s="1142"/>
      <c r="R37" s="509"/>
      <c r="S37" s="509"/>
      <c r="T37" s="509"/>
      <c r="U37" s="509"/>
      <c r="V37" s="509"/>
      <c r="W37" s="509"/>
      <c r="X37" s="379"/>
    </row>
    <row r="38" spans="1:24" s="1165" customFormat="1" ht="31" x14ac:dyDescent="0.25">
      <c r="B38" s="1137">
        <v>5.3</v>
      </c>
      <c r="C38" s="369" t="s">
        <v>1097</v>
      </c>
      <c r="D38" s="1137" t="s">
        <v>100</v>
      </c>
      <c r="E38" s="1157"/>
      <c r="F38" s="509">
        <f>F34</f>
        <v>0.1096</v>
      </c>
      <c r="G38" s="509">
        <v>0.14563132576594004</v>
      </c>
      <c r="H38" s="509">
        <f>G38-F38</f>
        <v>3.6031325765940037E-2</v>
      </c>
      <c r="I38" s="1143"/>
      <c r="J38" s="509">
        <f>J34</f>
        <v>0.1096</v>
      </c>
      <c r="K38" s="509">
        <v>0.13426666272981375</v>
      </c>
      <c r="L38" s="509">
        <f>K38-J38</f>
        <v>2.4666662729813743E-2</v>
      </c>
      <c r="M38" s="1143"/>
      <c r="N38" s="509">
        <f>N34</f>
        <v>0.1096</v>
      </c>
      <c r="O38" s="509">
        <v>0.13728768739082553</v>
      </c>
      <c r="P38" s="509">
        <v>0.1096</v>
      </c>
      <c r="Q38" s="509">
        <v>0.12085032865886669</v>
      </c>
      <c r="R38" s="509">
        <f t="shared" ref="R38:R45" si="7">Q38-N38</f>
        <v>1.1250328658866687E-2</v>
      </c>
      <c r="S38" s="509">
        <f>'F2.2'!S29</f>
        <v>0.1096</v>
      </c>
      <c r="T38" s="509">
        <f>'F2.2'!T29</f>
        <v>0.1096</v>
      </c>
      <c r="U38" s="509">
        <f>'F2.2'!U29</f>
        <v>0.1096</v>
      </c>
      <c r="V38" s="509">
        <f>'F2.2'!V29</f>
        <v>0.1096</v>
      </c>
      <c r="W38" s="509">
        <f>'F2.2'!W29</f>
        <v>0.1096</v>
      </c>
      <c r="X38" s="379"/>
    </row>
    <row r="39" spans="1:24" s="1165" customFormat="1" x14ac:dyDescent="0.25">
      <c r="B39" s="1137">
        <v>5.4</v>
      </c>
      <c r="C39" s="369" t="s">
        <v>1098</v>
      </c>
      <c r="D39" s="1137" t="s">
        <v>100</v>
      </c>
      <c r="E39" s="1137"/>
      <c r="F39" s="509">
        <f t="shared" ref="F39:F40" si="8">F35</f>
        <v>0</v>
      </c>
      <c r="G39" s="509">
        <v>0</v>
      </c>
      <c r="H39" s="509">
        <f t="shared" ref="H39:H41" si="9">G39-F39</f>
        <v>0</v>
      </c>
      <c r="I39" s="770"/>
      <c r="J39" s="509">
        <f t="shared" ref="J39:J40" si="10">J35</f>
        <v>0</v>
      </c>
      <c r="K39" s="509">
        <v>0</v>
      </c>
      <c r="L39" s="509">
        <f t="shared" si="6"/>
        <v>0</v>
      </c>
      <c r="M39" s="1143"/>
      <c r="N39" s="509"/>
      <c r="O39" s="509">
        <v>0</v>
      </c>
      <c r="P39" s="509">
        <v>0</v>
      </c>
      <c r="Q39" s="509">
        <v>0</v>
      </c>
      <c r="R39" s="509"/>
      <c r="S39" s="509">
        <f>'F2.2'!S30</f>
        <v>0</v>
      </c>
      <c r="T39" s="509">
        <f>'F2.2'!T30</f>
        <v>0</v>
      </c>
      <c r="U39" s="509">
        <f>'F2.2'!U30</f>
        <v>0</v>
      </c>
      <c r="V39" s="509">
        <f>'F2.2'!V30</f>
        <v>0</v>
      </c>
      <c r="W39" s="509">
        <f>'F2.2'!W30</f>
        <v>0</v>
      </c>
      <c r="X39" s="379"/>
    </row>
    <row r="40" spans="1:24" s="1165" customFormat="1" ht="31" x14ac:dyDescent="0.25">
      <c r="B40" s="1137"/>
      <c r="C40" s="369" t="s">
        <v>1099</v>
      </c>
      <c r="D40" s="1137" t="s">
        <v>100</v>
      </c>
      <c r="E40" s="1137"/>
      <c r="F40" s="509">
        <f t="shared" si="8"/>
        <v>0</v>
      </c>
      <c r="G40" s="509">
        <v>0</v>
      </c>
      <c r="H40" s="509">
        <f t="shared" si="9"/>
        <v>0</v>
      </c>
      <c r="I40" s="770"/>
      <c r="J40" s="509">
        <f t="shared" si="10"/>
        <v>0</v>
      </c>
      <c r="K40" s="509">
        <v>0</v>
      </c>
      <c r="L40" s="509">
        <f t="shared" si="6"/>
        <v>0</v>
      </c>
      <c r="M40" s="1143"/>
      <c r="N40" s="509"/>
      <c r="O40" s="509">
        <v>0</v>
      </c>
      <c r="P40" s="509">
        <v>0</v>
      </c>
      <c r="Q40" s="509">
        <v>0</v>
      </c>
      <c r="R40" s="509"/>
      <c r="S40" s="509"/>
      <c r="T40" s="509"/>
      <c r="U40" s="509"/>
      <c r="V40" s="509"/>
      <c r="W40" s="509"/>
      <c r="X40" s="379"/>
    </row>
    <row r="41" spans="1:24" s="1165" customFormat="1" x14ac:dyDescent="0.25">
      <c r="B41" s="1137"/>
      <c r="C41" s="369" t="s">
        <v>1100</v>
      </c>
      <c r="D41" s="1137"/>
      <c r="E41" s="1157">
        <f>SUM(E38:E40)</f>
        <v>0</v>
      </c>
      <c r="F41" s="435">
        <f>SUM(F38:F40)</f>
        <v>0.1096</v>
      </c>
      <c r="G41" s="435">
        <f>SUM(G38:G40)</f>
        <v>0.14563132576594004</v>
      </c>
      <c r="H41" s="509">
        <f t="shared" si="9"/>
        <v>3.6031325765940037E-2</v>
      </c>
      <c r="I41" s="435"/>
      <c r="J41" s="435">
        <f>SUM(J38:J40)</f>
        <v>0.1096</v>
      </c>
      <c r="K41" s="435">
        <f>SUM(K38:K40)</f>
        <v>0.13426666272981375</v>
      </c>
      <c r="L41" s="435">
        <f>SUM(L38:L40)</f>
        <v>2.4666662729813743E-2</v>
      </c>
      <c r="M41" s="1143"/>
      <c r="N41" s="509"/>
      <c r="O41" s="435">
        <f t="shared" ref="O41:Q41" si="11">SUM(O38:O40)</f>
        <v>0.13728768739082553</v>
      </c>
      <c r="P41" s="435">
        <f t="shared" si="11"/>
        <v>0.1096</v>
      </c>
      <c r="Q41" s="435">
        <f t="shared" si="11"/>
        <v>0.12085032865886669</v>
      </c>
      <c r="R41" s="509"/>
      <c r="S41" s="509"/>
      <c r="T41" s="509"/>
      <c r="U41" s="509"/>
      <c r="V41" s="509"/>
      <c r="W41" s="509"/>
      <c r="X41" s="379"/>
    </row>
    <row r="42" spans="1:24" s="1171" customFormat="1" ht="31" x14ac:dyDescent="0.25">
      <c r="A42" s="1165"/>
      <c r="B42" s="401">
        <v>5.5</v>
      </c>
      <c r="C42" s="401" t="s">
        <v>1101</v>
      </c>
      <c r="D42" s="401" t="s">
        <v>102</v>
      </c>
      <c r="E42" s="401"/>
      <c r="F42" s="1150">
        <f>F$30*F38</f>
        <v>78.421649599999995</v>
      </c>
      <c r="G42" s="1150">
        <f>G$30*G38</f>
        <v>104.203</v>
      </c>
      <c r="H42" s="1150">
        <f t="shared" ref="H42:H45" si="12">G42-F42</f>
        <v>25.781350400000008</v>
      </c>
      <c r="I42" s="1151"/>
      <c r="J42" s="1150">
        <f>J$30*J38</f>
        <v>111.35798400000003</v>
      </c>
      <c r="K42" s="1150">
        <f>K$30*K38</f>
        <v>136.4203</v>
      </c>
      <c r="L42" s="1150">
        <f t="shared" ref="L42:L45" si="13">K42-J42</f>
        <v>25.062315999999967</v>
      </c>
      <c r="M42" s="1151"/>
      <c r="N42" s="1150">
        <f>N$30*N38</f>
        <v>136.13252187586622</v>
      </c>
      <c r="O42" s="1150">
        <f>O$30*O38</f>
        <v>69.288546675400084</v>
      </c>
      <c r="P42" s="1150">
        <f>P$30*P38</f>
        <v>80.817840275866217</v>
      </c>
      <c r="Q42" s="1158">
        <f t="shared" ref="Q42:Q45" si="14">O42+P42</f>
        <v>150.1063869512663</v>
      </c>
      <c r="R42" s="1150">
        <f t="shared" si="7"/>
        <v>13.973865075400084</v>
      </c>
      <c r="S42" s="1150">
        <f t="shared" ref="S42" si="15">S$30*S38</f>
        <v>161.35378546988932</v>
      </c>
      <c r="T42" s="1150">
        <f t="shared" ref="T42:W42" si="16">T$30*T38</f>
        <v>161.34778025330829</v>
      </c>
      <c r="U42" s="1150">
        <f t="shared" si="16"/>
        <v>161.34778025330829</v>
      </c>
      <c r="V42" s="1150">
        <f t="shared" si="16"/>
        <v>161.34778025330829</v>
      </c>
      <c r="W42" s="1150">
        <f t="shared" si="16"/>
        <v>161.34778025330829</v>
      </c>
      <c r="X42" s="379"/>
    </row>
    <row r="43" spans="1:24" s="1171" customFormat="1" ht="31" x14ac:dyDescent="0.25">
      <c r="A43" s="1165"/>
      <c r="B43" s="401"/>
      <c r="C43" s="369" t="s">
        <v>1102</v>
      </c>
      <c r="D43" s="401" t="s">
        <v>102</v>
      </c>
      <c r="E43" s="401"/>
      <c r="F43" s="1150">
        <f t="shared" ref="F43:G44" si="17">F$30*F39</f>
        <v>0</v>
      </c>
      <c r="G43" s="1150">
        <f t="shared" si="17"/>
        <v>0</v>
      </c>
      <c r="H43" s="1150">
        <f t="shared" si="12"/>
        <v>0</v>
      </c>
      <c r="I43" s="1151"/>
      <c r="J43" s="1150">
        <f t="shared" ref="J43:K43" si="18">J$30*J39</f>
        <v>0</v>
      </c>
      <c r="K43" s="1150">
        <f t="shared" si="18"/>
        <v>0</v>
      </c>
      <c r="L43" s="1150">
        <f t="shared" si="13"/>
        <v>0</v>
      </c>
      <c r="M43" s="1151"/>
      <c r="N43" s="1150">
        <f t="shared" ref="N43:P43" si="19">N$30*N39</f>
        <v>0</v>
      </c>
      <c r="O43" s="1150">
        <f t="shared" si="19"/>
        <v>0</v>
      </c>
      <c r="P43" s="1150">
        <f t="shared" si="19"/>
        <v>0</v>
      </c>
      <c r="Q43" s="1158">
        <f t="shared" si="14"/>
        <v>0</v>
      </c>
      <c r="R43" s="1150">
        <f t="shared" si="7"/>
        <v>0</v>
      </c>
      <c r="S43" s="1150">
        <f t="shared" ref="S43" si="20">S$30*S39</f>
        <v>0</v>
      </c>
      <c r="T43" s="1150">
        <f t="shared" ref="T43:W43" si="21">T$30*T39</f>
        <v>0</v>
      </c>
      <c r="U43" s="1150">
        <f t="shared" si="21"/>
        <v>0</v>
      </c>
      <c r="V43" s="1150">
        <f t="shared" si="21"/>
        <v>0</v>
      </c>
      <c r="W43" s="1150">
        <f t="shared" si="21"/>
        <v>0</v>
      </c>
      <c r="X43" s="379"/>
    </row>
    <row r="44" spans="1:24" s="1171" customFormat="1" ht="31" x14ac:dyDescent="0.25">
      <c r="A44" s="1165"/>
      <c r="B44" s="401"/>
      <c r="C44" s="369" t="s">
        <v>1103</v>
      </c>
      <c r="D44" s="401" t="s">
        <v>102</v>
      </c>
      <c r="E44" s="401"/>
      <c r="F44" s="1150">
        <f t="shared" si="17"/>
        <v>0</v>
      </c>
      <c r="G44" s="1150">
        <f t="shared" si="17"/>
        <v>0</v>
      </c>
      <c r="H44" s="1150">
        <f t="shared" si="12"/>
        <v>0</v>
      </c>
      <c r="I44" s="1151"/>
      <c r="J44" s="1150">
        <f t="shared" ref="J44:K44" si="22">J$30*J40</f>
        <v>0</v>
      </c>
      <c r="K44" s="1150">
        <f t="shared" si="22"/>
        <v>0</v>
      </c>
      <c r="L44" s="1150">
        <f t="shared" si="13"/>
        <v>0</v>
      </c>
      <c r="M44" s="1151"/>
      <c r="N44" s="1150">
        <f t="shared" ref="N44:P44" si="23">N$30*N40</f>
        <v>0</v>
      </c>
      <c r="O44" s="1150">
        <f t="shared" si="23"/>
        <v>0</v>
      </c>
      <c r="P44" s="1150">
        <f t="shared" si="23"/>
        <v>0</v>
      </c>
      <c r="Q44" s="1158">
        <f t="shared" si="14"/>
        <v>0</v>
      </c>
      <c r="R44" s="1150">
        <f t="shared" si="7"/>
        <v>0</v>
      </c>
      <c r="S44" s="1150">
        <f t="shared" ref="S44" si="24">S$30*S40</f>
        <v>0</v>
      </c>
      <c r="T44" s="1150">
        <f t="shared" ref="T44:W44" si="25">T$30*T40</f>
        <v>0</v>
      </c>
      <c r="U44" s="1150">
        <f t="shared" si="25"/>
        <v>0</v>
      </c>
      <c r="V44" s="1150">
        <f t="shared" si="25"/>
        <v>0</v>
      </c>
      <c r="W44" s="1150">
        <f t="shared" si="25"/>
        <v>0</v>
      </c>
      <c r="X44" s="379"/>
    </row>
    <row r="45" spans="1:24" s="1165" customFormat="1" x14ac:dyDescent="0.25">
      <c r="B45" s="1137">
        <v>5.6</v>
      </c>
      <c r="C45" s="369" t="s">
        <v>1104</v>
      </c>
      <c r="D45" s="1137" t="s">
        <v>102</v>
      </c>
      <c r="E45" s="1137"/>
      <c r="F45" s="502">
        <f>SUM(F42:F44)</f>
        <v>78.421649599999995</v>
      </c>
      <c r="G45" s="502">
        <f>SUM(G42:G44)</f>
        <v>104.203</v>
      </c>
      <c r="H45" s="1150">
        <f t="shared" si="12"/>
        <v>25.781350400000008</v>
      </c>
      <c r="I45" s="610"/>
      <c r="J45" s="502">
        <f>SUM(J42:J44)</f>
        <v>111.35798400000003</v>
      </c>
      <c r="K45" s="502">
        <f>SUM(K42:K44)</f>
        <v>136.4203</v>
      </c>
      <c r="L45" s="1150">
        <f t="shared" si="13"/>
        <v>25.062315999999967</v>
      </c>
      <c r="M45" s="1151"/>
      <c r="N45" s="502">
        <f>SUM(N42:N44)</f>
        <v>136.13252187586622</v>
      </c>
      <c r="O45" s="502">
        <f>SUM(O42:O44)</f>
        <v>69.288546675400084</v>
      </c>
      <c r="P45" s="502">
        <f>SUM(P42:P44)</f>
        <v>80.817840275866217</v>
      </c>
      <c r="Q45" s="1158">
        <f t="shared" si="14"/>
        <v>150.1063869512663</v>
      </c>
      <c r="R45" s="1150">
        <f t="shared" si="7"/>
        <v>13.973865075400084</v>
      </c>
      <c r="S45" s="502">
        <f t="shared" ref="S45" si="26">SUM(S42:S44)</f>
        <v>161.35378546988932</v>
      </c>
      <c r="T45" s="502">
        <f t="shared" ref="T45:W45" si="27">SUM(T42:T44)</f>
        <v>161.34778025330829</v>
      </c>
      <c r="U45" s="502">
        <f t="shared" si="27"/>
        <v>161.34778025330829</v>
      </c>
      <c r="V45" s="502">
        <f t="shared" si="27"/>
        <v>161.34778025330829</v>
      </c>
      <c r="W45" s="502">
        <f t="shared" si="27"/>
        <v>161.34778025330829</v>
      </c>
      <c r="X45" s="379"/>
    </row>
    <row r="46" spans="1:24" s="1165" customFormat="1" x14ac:dyDescent="0.25">
      <c r="B46" s="1137"/>
      <c r="C46" s="369"/>
      <c r="D46" s="1137"/>
      <c r="E46" s="1137"/>
      <c r="F46" s="1150"/>
      <c r="G46" s="1150"/>
      <c r="H46" s="1150"/>
      <c r="I46" s="1151"/>
      <c r="J46" s="1150"/>
      <c r="K46" s="1150"/>
      <c r="L46" s="1150"/>
      <c r="M46" s="1151"/>
      <c r="N46" s="1150"/>
      <c r="O46" s="1150"/>
      <c r="P46" s="1150"/>
      <c r="Q46" s="1150"/>
      <c r="R46" s="1150"/>
      <c r="S46" s="1150"/>
      <c r="T46" s="1150"/>
      <c r="U46" s="1150"/>
      <c r="V46" s="1150"/>
      <c r="W46" s="1150"/>
      <c r="X46" s="379"/>
    </row>
    <row r="47" spans="1:24" s="1165" customFormat="1" x14ac:dyDescent="0.25">
      <c r="B47" s="1135">
        <v>6</v>
      </c>
      <c r="C47" s="381" t="s">
        <v>103</v>
      </c>
      <c r="D47" s="1137"/>
      <c r="E47" s="1137"/>
      <c r="F47" s="1150"/>
      <c r="G47" s="1150"/>
      <c r="H47" s="1150"/>
      <c r="I47" s="1151"/>
      <c r="J47" s="1150"/>
      <c r="K47" s="1150"/>
      <c r="L47" s="1150"/>
      <c r="M47" s="1151"/>
      <c r="N47" s="1150"/>
      <c r="O47" s="1150"/>
      <c r="P47" s="1150"/>
      <c r="Q47" s="1150"/>
      <c r="R47" s="1150"/>
      <c r="S47" s="1150"/>
      <c r="T47" s="1150"/>
      <c r="U47" s="1150"/>
      <c r="V47" s="1150"/>
      <c r="W47" s="1150"/>
      <c r="X47" s="379"/>
    </row>
    <row r="48" spans="1:24" s="1171" customFormat="1" x14ac:dyDescent="0.25">
      <c r="A48" s="1165"/>
      <c r="B48" s="401">
        <v>6.1</v>
      </c>
      <c r="C48" s="401" t="s">
        <v>692</v>
      </c>
      <c r="D48" s="401" t="s">
        <v>102</v>
      </c>
      <c r="E48" s="1155">
        <v>1020.1291864690015</v>
      </c>
      <c r="F48" s="1150">
        <f>F30-F45</f>
        <v>637.10435039999993</v>
      </c>
      <c r="G48" s="1150">
        <f t="shared" ref="G48" si="28">G30-G45</f>
        <v>611.32299999999998</v>
      </c>
      <c r="H48" s="1150">
        <f>G48-F48</f>
        <v>-25.781350399999951</v>
      </c>
      <c r="I48" s="1151">
        <f>I30*(1-I37)</f>
        <v>1309.9144929669294</v>
      </c>
      <c r="J48" s="1150">
        <f>J30-J45</f>
        <v>904.6820160000002</v>
      </c>
      <c r="K48" s="1150">
        <f t="shared" ref="K48" si="29">K30-K45</f>
        <v>879.61970000000019</v>
      </c>
      <c r="L48" s="1150">
        <f>K48-J48</f>
        <v>-25.06231600000001</v>
      </c>
      <c r="M48" s="1151">
        <f>M30*(1-M37)</f>
        <v>1306.3354916200253</v>
      </c>
      <c r="N48" s="1150">
        <f>N30-N45</f>
        <v>1105.9525317360519</v>
      </c>
      <c r="O48" s="1150">
        <f t="shared" ref="O48:P48" si="30">O30-O45</f>
        <v>435.40745332459994</v>
      </c>
      <c r="P48" s="1150">
        <f t="shared" si="30"/>
        <v>656.57121333605187</v>
      </c>
      <c r="Q48" s="1158">
        <f>O48+P48</f>
        <v>1091.9786666606519</v>
      </c>
      <c r="R48" s="1150">
        <f>Q48-N48</f>
        <v>-13.973865075399999</v>
      </c>
      <c r="S48" s="1150">
        <f t="shared" ref="S48" si="31">S30-S45</f>
        <v>1310.85228633567</v>
      </c>
      <c r="T48" s="1150">
        <f t="shared" ref="T48:W48" si="32">T30-T45</f>
        <v>1310.8034994301615</v>
      </c>
      <c r="U48" s="1150">
        <f t="shared" si="32"/>
        <v>1310.8034994301615</v>
      </c>
      <c r="V48" s="1150">
        <f t="shared" si="32"/>
        <v>1310.8034994301615</v>
      </c>
      <c r="W48" s="1150">
        <f t="shared" si="32"/>
        <v>1310.8034994301615</v>
      </c>
      <c r="X48" s="379"/>
    </row>
    <row r="49" spans="2:24" s="1165" customFormat="1" x14ac:dyDescent="0.25">
      <c r="B49" s="1137">
        <v>6.2</v>
      </c>
      <c r="C49" s="369" t="s">
        <v>693</v>
      </c>
      <c r="D49" s="1137" t="s">
        <v>102</v>
      </c>
      <c r="E49" s="1159"/>
      <c r="F49" s="502"/>
      <c r="G49" s="502">
        <v>0</v>
      </c>
      <c r="H49" s="502">
        <f>G49-F49</f>
        <v>0</v>
      </c>
      <c r="I49" s="610"/>
      <c r="J49" s="1150"/>
      <c r="K49" s="502"/>
      <c r="L49" s="1150">
        <f>K49-J49</f>
        <v>0</v>
      </c>
      <c r="M49" s="1151"/>
      <c r="N49" s="1150"/>
      <c r="O49" s="502"/>
      <c r="P49" s="502"/>
      <c r="Q49" s="502">
        <f>O49+P49</f>
        <v>0</v>
      </c>
      <c r="R49" s="502">
        <f>Q49-N49</f>
        <v>0</v>
      </c>
      <c r="S49" s="502"/>
      <c r="T49" s="502"/>
      <c r="U49" s="502"/>
      <c r="V49" s="502"/>
      <c r="W49" s="502"/>
      <c r="X49" s="379"/>
    </row>
    <row r="50" spans="2:24" s="1165" customFormat="1" x14ac:dyDescent="0.25">
      <c r="B50" s="1137"/>
      <c r="C50" s="369"/>
      <c r="D50" s="1137"/>
      <c r="E50" s="1137"/>
      <c r="F50" s="1150"/>
      <c r="G50" s="1150"/>
      <c r="H50" s="1150"/>
      <c r="I50" s="1151"/>
      <c r="J50" s="1150"/>
      <c r="K50" s="1150"/>
      <c r="L50" s="1150"/>
      <c r="M50" s="1151"/>
      <c r="N50" s="1150"/>
      <c r="O50" s="1150"/>
      <c r="P50" s="1150"/>
      <c r="Q50" s="1150"/>
      <c r="R50" s="1150"/>
      <c r="S50" s="1150"/>
      <c r="T50" s="1150"/>
      <c r="U50" s="1150"/>
      <c r="V50" s="1150"/>
      <c r="W50" s="1150"/>
      <c r="X50" s="379"/>
    </row>
    <row r="51" spans="2:24" s="1165" customFormat="1" x14ac:dyDescent="0.25">
      <c r="B51" s="1135">
        <v>7</v>
      </c>
      <c r="C51" s="381" t="s">
        <v>446</v>
      </c>
      <c r="D51" s="1137"/>
      <c r="E51" s="1137"/>
      <c r="F51" s="1150"/>
      <c r="G51" s="1150"/>
      <c r="H51" s="1150"/>
      <c r="I51" s="1151"/>
      <c r="J51" s="1150"/>
      <c r="K51" s="1150"/>
      <c r="L51" s="1150"/>
      <c r="M51" s="1151"/>
      <c r="N51" s="1150"/>
      <c r="O51" s="1150"/>
      <c r="P51" s="1150"/>
      <c r="Q51" s="1150"/>
      <c r="R51" s="1150"/>
      <c r="S51" s="1150"/>
      <c r="T51" s="1150"/>
      <c r="U51" s="1150"/>
      <c r="V51" s="1150"/>
      <c r="W51" s="1150"/>
      <c r="X51" s="379"/>
    </row>
    <row r="52" spans="2:24" s="1165" customFormat="1" x14ac:dyDescent="0.25">
      <c r="B52" s="1137">
        <f>B51+0.1</f>
        <v>7.1</v>
      </c>
      <c r="C52" s="369" t="s">
        <v>104</v>
      </c>
      <c r="D52" s="1137" t="s">
        <v>105</v>
      </c>
      <c r="E52" s="1160">
        <v>2787</v>
      </c>
      <c r="F52" s="1173">
        <f>E52</f>
        <v>2787</v>
      </c>
      <c r="G52" s="1174"/>
      <c r="H52" s="1174"/>
      <c r="I52" s="1175">
        <v>2787</v>
      </c>
      <c r="J52" s="1173">
        <f>'F2.2'!J39</f>
        <v>2787</v>
      </c>
      <c r="K52" s="1174"/>
      <c r="L52" s="1174"/>
      <c r="M52" s="1175">
        <v>2787</v>
      </c>
      <c r="N52" s="1173">
        <f>'F2.2'!$N$39</f>
        <v>2787</v>
      </c>
      <c r="O52" s="1176"/>
      <c r="P52" s="1176"/>
      <c r="Q52" s="1173">
        <f>'F2.2'!Q39</f>
        <v>0</v>
      </c>
      <c r="R52" s="1173"/>
      <c r="S52" s="1173"/>
      <c r="T52" s="1173"/>
      <c r="U52" s="1173"/>
      <c r="V52" s="1173"/>
      <c r="W52" s="1173"/>
      <c r="X52" s="379"/>
    </row>
    <row r="53" spans="2:24" s="1165" customFormat="1" x14ac:dyDescent="0.25">
      <c r="B53" s="1137">
        <f>B52+0.1</f>
        <v>7.1999999999999993</v>
      </c>
      <c r="C53" s="369" t="s">
        <v>317</v>
      </c>
      <c r="D53" s="1137" t="s">
        <v>105</v>
      </c>
      <c r="E53" s="1160"/>
      <c r="F53" s="1174"/>
      <c r="G53" s="1173">
        <f>'F2.2'!G40</f>
        <v>3084.9481489549644</v>
      </c>
      <c r="H53" s="1173">
        <f>G53-F52</f>
        <v>297.94814895496438</v>
      </c>
      <c r="I53" s="1175"/>
      <c r="J53" s="1174"/>
      <c r="K53" s="1173">
        <f>'F2.2'!K40</f>
        <v>2898.6222675493241</v>
      </c>
      <c r="L53" s="1173">
        <f>K53-J52</f>
        <v>111.62226754932408</v>
      </c>
      <c r="M53" s="1175"/>
      <c r="N53" s="1176"/>
      <c r="O53" s="1173">
        <f>'F2.2'!O40</f>
        <v>2869.1524649361199</v>
      </c>
      <c r="P53" s="1173">
        <f>'F2.2'!P40</f>
        <v>2787</v>
      </c>
      <c r="Q53" s="1173">
        <f>'F2.2'!Q40</f>
        <v>2820.3809833093396</v>
      </c>
      <c r="R53" s="1173">
        <f>Q53-N52</f>
        <v>33.380983309339626</v>
      </c>
      <c r="S53" s="1173">
        <v>2787</v>
      </c>
      <c r="T53" s="1173">
        <v>2787</v>
      </c>
      <c r="U53" s="1173">
        <v>2787</v>
      </c>
      <c r="V53" s="1173">
        <v>2787</v>
      </c>
      <c r="W53" s="1173">
        <v>2787</v>
      </c>
      <c r="X53" s="379"/>
    </row>
    <row r="54" spans="2:24" s="1165" customFormat="1" x14ac:dyDescent="0.25">
      <c r="B54" s="1137"/>
      <c r="C54" s="369"/>
      <c r="D54" s="1137"/>
      <c r="E54" s="1137"/>
      <c r="F54" s="1150"/>
      <c r="G54" s="1150"/>
      <c r="H54" s="1150"/>
      <c r="I54" s="1151"/>
      <c r="J54" s="1150"/>
      <c r="K54" s="1150"/>
      <c r="L54" s="1150"/>
      <c r="M54" s="1151"/>
      <c r="N54" s="1150"/>
      <c r="O54" s="1150"/>
      <c r="P54" s="1150"/>
      <c r="Q54" s="1150"/>
      <c r="R54" s="1150"/>
      <c r="S54" s="1150"/>
      <c r="T54" s="1150"/>
      <c r="U54" s="1150"/>
      <c r="V54" s="1150"/>
      <c r="W54" s="1150"/>
      <c r="X54" s="379"/>
    </row>
    <row r="55" spans="2:24" s="1165" customFormat="1" x14ac:dyDescent="0.25">
      <c r="B55" s="1135">
        <v>8</v>
      </c>
      <c r="C55" s="381" t="s">
        <v>375</v>
      </c>
      <c r="D55" s="1137"/>
      <c r="E55" s="1137"/>
      <c r="F55" s="1150"/>
      <c r="G55" s="1150"/>
      <c r="H55" s="1150"/>
      <c r="I55" s="1151"/>
      <c r="J55" s="1150"/>
      <c r="K55" s="1150"/>
      <c r="L55" s="1150"/>
      <c r="M55" s="1151"/>
      <c r="N55" s="1150"/>
      <c r="O55" s="1150"/>
      <c r="P55" s="1150"/>
      <c r="Q55" s="1150"/>
      <c r="R55" s="1150"/>
      <c r="S55" s="1150"/>
      <c r="T55" s="1150"/>
      <c r="U55" s="1150"/>
      <c r="V55" s="1150"/>
      <c r="W55" s="1150"/>
      <c r="X55" s="379"/>
    </row>
    <row r="56" spans="2:24" s="1165" customFormat="1" x14ac:dyDescent="0.25">
      <c r="B56" s="1137">
        <f>B55+0.1</f>
        <v>8.1</v>
      </c>
      <c r="C56" s="369" t="s">
        <v>106</v>
      </c>
      <c r="D56" s="1137" t="s">
        <v>107</v>
      </c>
      <c r="E56" s="1159">
        <v>1.4</v>
      </c>
      <c r="F56" s="1150">
        <f>E56</f>
        <v>1.4</v>
      </c>
      <c r="G56" s="1150"/>
      <c r="H56" s="1150"/>
      <c r="I56" s="1151">
        <v>1.4</v>
      </c>
      <c r="J56" s="1150">
        <f>I56</f>
        <v>1.4</v>
      </c>
      <c r="K56" s="1150">
        <f>'F2.2'!$K$41</f>
        <v>0</v>
      </c>
      <c r="L56" s="1150"/>
      <c r="M56" s="1151">
        <v>1.4</v>
      </c>
      <c r="N56" s="1150">
        <f>'F2.2'!$N$41</f>
        <v>1.4</v>
      </c>
      <c r="O56" s="1150">
        <f>'F2.2'!O41</f>
        <v>0</v>
      </c>
      <c r="P56" s="1150">
        <f>'F2.2'!P41</f>
        <v>0</v>
      </c>
      <c r="Q56" s="1150">
        <f>'F2.2'!Q41</f>
        <v>0</v>
      </c>
      <c r="R56" s="1150">
        <f>Q56-N56</f>
        <v>-1.4</v>
      </c>
      <c r="S56" s="1150"/>
      <c r="T56" s="1150"/>
      <c r="U56" s="1150"/>
      <c r="V56" s="1150"/>
      <c r="W56" s="1150"/>
      <c r="X56" s="379"/>
    </row>
    <row r="57" spans="2:24" s="1165" customFormat="1" x14ac:dyDescent="0.25">
      <c r="B57" s="1137">
        <f>B56+0.1</f>
        <v>8.1999999999999993</v>
      </c>
      <c r="C57" s="369" t="s">
        <v>318</v>
      </c>
      <c r="D57" s="1137" t="s">
        <v>107</v>
      </c>
      <c r="E57" s="1159"/>
      <c r="F57" s="1150"/>
      <c r="G57" s="1150">
        <v>5.7569999999999997</v>
      </c>
      <c r="H57" s="1150">
        <f>G57-F56</f>
        <v>4.3569999999999993</v>
      </c>
      <c r="I57" s="1150"/>
      <c r="J57" s="1150"/>
      <c r="K57" s="1150">
        <v>3.6076355261603865</v>
      </c>
      <c r="L57" s="1150">
        <f>K57-J56</f>
        <v>2.2076355261603866</v>
      </c>
      <c r="M57" s="1150"/>
      <c r="N57" s="1150">
        <f>N56</f>
        <v>1.4</v>
      </c>
      <c r="O57" s="1150">
        <f>'F2.2'!O42</f>
        <v>5.6386597080222547</v>
      </c>
      <c r="P57" s="1150">
        <f>'F2.2'!P42</f>
        <v>1.4</v>
      </c>
      <c r="Q57" s="1150">
        <f>'F2.2'!Q42</f>
        <v>3.5193298540111275</v>
      </c>
      <c r="R57" s="1150">
        <f>Q57-N57</f>
        <v>2.1193298540111276</v>
      </c>
      <c r="S57" s="1150">
        <v>1.4</v>
      </c>
      <c r="T57" s="1150">
        <v>1.4</v>
      </c>
      <c r="U57" s="1150">
        <v>1.4</v>
      </c>
      <c r="V57" s="1150">
        <v>1.4</v>
      </c>
      <c r="W57" s="1150">
        <v>1.4</v>
      </c>
      <c r="X57" s="379"/>
    </row>
    <row r="58" spans="2:24" s="1165" customFormat="1" x14ac:dyDescent="0.25">
      <c r="B58" s="1137"/>
      <c r="C58" s="369"/>
      <c r="D58" s="1137"/>
      <c r="E58" s="1137"/>
      <c r="F58" s="401"/>
      <c r="G58" s="401"/>
      <c r="H58" s="401"/>
      <c r="I58" s="401"/>
      <c r="J58" s="401"/>
      <c r="K58" s="401"/>
      <c r="L58" s="401"/>
      <c r="M58" s="1149"/>
      <c r="N58" s="401"/>
      <c r="O58" s="401"/>
      <c r="P58" s="401"/>
      <c r="Q58" s="1149"/>
      <c r="R58" s="1149"/>
      <c r="S58" s="1149"/>
      <c r="T58" s="1149"/>
      <c r="U58" s="1149"/>
      <c r="V58" s="1149"/>
      <c r="W58" s="1149"/>
      <c r="X58" s="379"/>
    </row>
    <row r="59" spans="2:24" s="1165" customFormat="1" x14ac:dyDescent="0.25">
      <c r="B59" s="1135">
        <v>9</v>
      </c>
      <c r="C59" s="381" t="s">
        <v>144</v>
      </c>
      <c r="D59" s="1137"/>
      <c r="E59" s="1137"/>
      <c r="F59" s="401"/>
      <c r="G59" s="401"/>
      <c r="H59" s="401"/>
      <c r="I59" s="401"/>
      <c r="J59" s="401"/>
      <c r="K59" s="401"/>
      <c r="L59" s="401"/>
      <c r="M59" s="1149"/>
      <c r="N59" s="401"/>
      <c r="O59" s="401"/>
      <c r="P59" s="401"/>
      <c r="Q59" s="1149"/>
      <c r="R59" s="1149"/>
      <c r="S59" s="1149"/>
      <c r="T59" s="1149"/>
      <c r="U59" s="1149"/>
      <c r="V59" s="1149"/>
      <c r="W59" s="1149"/>
      <c r="X59" s="379"/>
    </row>
    <row r="60" spans="2:24" s="1165" customFormat="1" x14ac:dyDescent="0.25">
      <c r="B60" s="1137">
        <f>B59+0.1</f>
        <v>9.1</v>
      </c>
      <c r="C60" s="369" t="s">
        <v>108</v>
      </c>
      <c r="D60" s="1137" t="s">
        <v>100</v>
      </c>
      <c r="E60" s="1140">
        <v>8.0000000000000002E-3</v>
      </c>
      <c r="F60" s="1140">
        <f>E60</f>
        <v>8.0000000000000002E-3</v>
      </c>
      <c r="G60" s="1177"/>
      <c r="H60" s="1178"/>
      <c r="I60" s="1140">
        <v>8.0000000000000002E-3</v>
      </c>
      <c r="J60" s="1140">
        <f>I60</f>
        <v>8.0000000000000002E-3</v>
      </c>
      <c r="K60" s="1177"/>
      <c r="L60" s="1178"/>
      <c r="M60" s="1140">
        <v>8.0000000000000002E-3</v>
      </c>
      <c r="N60" s="1140">
        <f>M60</f>
        <v>8.0000000000000002E-3</v>
      </c>
      <c r="O60" s="1177"/>
      <c r="P60" s="1178"/>
      <c r="Q60" s="1178"/>
      <c r="R60" s="1141"/>
      <c r="S60" s="1141"/>
      <c r="T60" s="1141"/>
      <c r="U60" s="1141"/>
      <c r="V60" s="1141"/>
      <c r="W60" s="1141"/>
      <c r="X60" s="603"/>
    </row>
    <row r="61" spans="2:24" s="1165" customFormat="1" x14ac:dyDescent="0.25">
      <c r="B61" s="1137">
        <f>B60+0.1</f>
        <v>9.1999999999999993</v>
      </c>
      <c r="C61" s="369" t="s">
        <v>319</v>
      </c>
      <c r="D61" s="1137" t="s">
        <v>100</v>
      </c>
      <c r="E61" s="1140"/>
      <c r="F61" s="1178"/>
      <c r="G61" s="509">
        <v>8.6899999999999998E-3</v>
      </c>
      <c r="H61" s="1140">
        <f>G61-F60</f>
        <v>6.8999999999999964E-4</v>
      </c>
      <c r="I61" s="1140"/>
      <c r="J61" s="1178"/>
      <c r="K61" s="509">
        <f>'F2.2'!$K$44</f>
        <v>1.09E-2</v>
      </c>
      <c r="L61" s="1140">
        <f>K61-J60</f>
        <v>2.8999999999999998E-3</v>
      </c>
      <c r="M61" s="1140"/>
      <c r="N61" s="1178"/>
      <c r="O61" s="509">
        <f>'F2.2'!O44</f>
        <v>1.1570984658443995E-2</v>
      </c>
      <c r="P61" s="509">
        <f>'F2.2'!P44</f>
        <v>8.0000000000000002E-3</v>
      </c>
      <c r="Q61" s="509">
        <f>'F2.2'!Q44</f>
        <v>9.7854923292219967E-3</v>
      </c>
      <c r="R61" s="1141">
        <f>Q61-N60</f>
        <v>1.7854923292219965E-3</v>
      </c>
      <c r="S61" s="1141">
        <v>8.0000000000000002E-3</v>
      </c>
      <c r="T61" s="1141">
        <v>8.0000000000000002E-3</v>
      </c>
      <c r="U61" s="1141">
        <v>8.0000000000000002E-3</v>
      </c>
      <c r="V61" s="1141">
        <v>8.0000000000000002E-3</v>
      </c>
      <c r="W61" s="1141">
        <v>8.0000000000000002E-3</v>
      </c>
      <c r="X61" s="603"/>
    </row>
    <row r="62" spans="2:24" s="1165" customFormat="1" x14ac:dyDescent="0.25">
      <c r="B62" s="1179"/>
      <c r="C62" s="1179"/>
      <c r="D62" s="1180"/>
      <c r="E62" s="1180"/>
      <c r="F62" s="1180"/>
      <c r="G62" s="1180"/>
      <c r="H62" s="1180"/>
      <c r="I62" s="1180"/>
      <c r="J62" s="1180"/>
      <c r="K62" s="1180"/>
      <c r="L62" s="1180"/>
      <c r="M62" s="1179"/>
      <c r="N62" s="1179"/>
      <c r="O62" s="1179"/>
      <c r="P62" s="1179"/>
      <c r="Q62" s="1179"/>
      <c r="R62" s="1179"/>
      <c r="S62" s="1179"/>
      <c r="T62" s="1179"/>
      <c r="U62" s="1179"/>
      <c r="V62" s="1179"/>
      <c r="W62" s="1179"/>
    </row>
    <row r="63" spans="2:24" s="1181" customFormat="1" ht="18.5" x14ac:dyDescent="0.35">
      <c r="D63" s="1182"/>
      <c r="E63" s="1182"/>
      <c r="F63" s="1182"/>
      <c r="G63" s="1182"/>
      <c r="H63" s="1182"/>
      <c r="I63" s="1182"/>
      <c r="J63" s="1182"/>
      <c r="K63" s="1182"/>
      <c r="L63" s="1182"/>
      <c r="M63" s="1183"/>
      <c r="N63" s="1183"/>
      <c r="O63" s="1183"/>
      <c r="P63" s="1183"/>
      <c r="Q63" s="1183"/>
      <c r="R63" s="1183"/>
      <c r="S63" s="1183"/>
      <c r="T63" s="1183"/>
      <c r="U63" s="1183"/>
      <c r="V63" s="1183"/>
      <c r="W63" s="1183"/>
    </row>
    <row r="64" spans="2:24" ht="18.5" x14ac:dyDescent="0.35">
      <c r="B64" s="1163" t="s">
        <v>1687</v>
      </c>
      <c r="C64" s="1181"/>
      <c r="D64" s="1181"/>
      <c r="E64" s="1181"/>
      <c r="F64" s="1181"/>
      <c r="M64" s="1183"/>
      <c r="N64" s="1183"/>
      <c r="O64" s="1183"/>
      <c r="P64" s="1183"/>
      <c r="Q64" s="1183"/>
      <c r="R64" s="1183"/>
      <c r="S64" s="1183"/>
      <c r="T64" s="1183"/>
      <c r="U64" s="1183"/>
      <c r="V64" s="1183"/>
      <c r="W64" s="1183"/>
    </row>
    <row r="65" spans="2:23" ht="18.5" x14ac:dyDescent="0.35">
      <c r="B65" s="1181"/>
      <c r="C65" s="1181" t="s">
        <v>1685</v>
      </c>
      <c r="D65" s="1181"/>
      <c r="E65" s="1181"/>
      <c r="F65" s="1181"/>
      <c r="M65" s="1183"/>
      <c r="N65" s="1183"/>
      <c r="O65" s="1183"/>
      <c r="P65" s="1183"/>
      <c r="Q65" s="1183"/>
      <c r="R65" s="1183"/>
      <c r="S65" s="1183"/>
      <c r="T65" s="1183"/>
      <c r="U65" s="1183"/>
      <c r="V65" s="1183"/>
      <c r="W65" s="1183"/>
    </row>
    <row r="66" spans="2:23" x14ac:dyDescent="0.35">
      <c r="B66" s="1181" t="s">
        <v>1686</v>
      </c>
      <c r="C66" s="1181"/>
      <c r="D66" s="1181"/>
      <c r="E66" s="1181"/>
      <c r="F66" s="1181"/>
      <c r="M66" s="1182"/>
      <c r="N66" s="1182"/>
      <c r="O66" s="1182"/>
      <c r="P66" s="1182"/>
      <c r="Q66" s="1182"/>
      <c r="R66" s="1182"/>
      <c r="S66" s="1182"/>
      <c r="T66" s="1182"/>
      <c r="U66" s="1182"/>
      <c r="V66" s="1182"/>
      <c r="W66" s="1182"/>
    </row>
    <row r="67" spans="2:23" x14ac:dyDescent="0.35">
      <c r="B67" s="1181"/>
      <c r="C67" s="1181"/>
      <c r="D67" s="1181"/>
      <c r="E67" s="1181"/>
      <c r="F67" s="1181"/>
      <c r="P67" s="1184"/>
    </row>
  </sheetData>
  <mergeCells count="14">
    <mergeCell ref="S7:W7"/>
    <mergeCell ref="N2:X2"/>
    <mergeCell ref="N3:X3"/>
    <mergeCell ref="N4:X4"/>
    <mergeCell ref="B7:B9"/>
    <mergeCell ref="C7:C9"/>
    <mergeCell ref="D7:D9"/>
    <mergeCell ref="X7:X9"/>
    <mergeCell ref="B2:L2"/>
    <mergeCell ref="B3:L3"/>
    <mergeCell ref="E7:H7"/>
    <mergeCell ref="I7:L7"/>
    <mergeCell ref="M7:R7"/>
    <mergeCell ref="B4:L4"/>
  </mergeCells>
  <printOptions horizontalCentered="1" verticalCentered="1"/>
  <pageMargins left="3.937007874015748E-2" right="3.937007874015748E-2" top="0.15748031496062992" bottom="0.15748031496062992" header="0.31496062992125984" footer="0.31496062992125984"/>
  <pageSetup paperSize="9" scale="60" orientation="landscape" r:id="rId1"/>
  <headerFooter alignWithMargins="0"/>
  <colBreaks count="1" manualBreakCount="1">
    <brk id="12"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A205"/>
  <sheetViews>
    <sheetView showGridLines="0" view="pageBreakPreview" zoomScale="60" zoomScaleNormal="80" workbookViewId="0">
      <pane xSplit="4" ySplit="8" topLeftCell="J37" activePane="bottomRight" state="frozen"/>
      <selection activeCell="I36" sqref="I36"/>
      <selection pane="topRight" activeCell="I36" sqref="I36"/>
      <selection pane="bottomLeft" activeCell="I36" sqref="I36"/>
      <selection pane="bottomRight" activeCell="S37" sqref="S37"/>
    </sheetView>
  </sheetViews>
  <sheetFormatPr defaultColWidth="9.36328125" defaultRowHeight="15.5" x14ac:dyDescent="0.35"/>
  <cols>
    <col min="1" max="1" width="10.36328125" style="1161" bestFit="1" customWidth="1"/>
    <col min="2" max="2" width="10.453125" style="1161" bestFit="1" customWidth="1"/>
    <col min="3" max="3" width="27.54296875" style="1161" customWidth="1"/>
    <col min="4" max="4" width="19.1796875" style="1161" customWidth="1"/>
    <col min="5" max="5" width="13.1796875" style="1161" customWidth="1"/>
    <col min="6" max="6" width="15.1796875" style="1161" customWidth="1"/>
    <col min="7" max="7" width="31.1796875" style="1161" bestFit="1" customWidth="1"/>
    <col min="8" max="8" width="19.6328125" style="1161" customWidth="1"/>
    <col min="9" max="9" width="14.6328125" style="1161" customWidth="1"/>
    <col min="10" max="10" width="14.36328125" style="1161" bestFit="1" customWidth="1"/>
    <col min="11" max="11" width="23.6328125" style="1161" customWidth="1"/>
    <col min="12" max="12" width="19.54296875" style="1161" customWidth="1"/>
    <col min="13" max="13" width="16.453125" style="1161" customWidth="1"/>
    <col min="14" max="14" width="18.90625" style="1239" customWidth="1"/>
    <col min="15" max="15" width="12.54296875" style="1161" customWidth="1"/>
    <col min="16" max="16" width="14.90625" style="1161" bestFit="1" customWidth="1"/>
    <col min="17" max="17" width="15.6328125" style="1161" customWidth="1"/>
    <col min="18" max="23" width="22.36328125" style="1161" customWidth="1"/>
    <col min="24" max="24" width="11.453125" style="1161" bestFit="1" customWidth="1"/>
    <col min="25" max="16384" width="9.36328125" style="1161"/>
  </cols>
  <sheetData>
    <row r="2" spans="2:24" x14ac:dyDescent="0.35">
      <c r="B2" s="1629" t="str">
        <f>Index!B2</f>
        <v xml:space="preserve">      Maharashtra State Power Generation Company Ltd.</v>
      </c>
      <c r="C2" s="1629"/>
      <c r="D2" s="1629"/>
      <c r="E2" s="1629"/>
      <c r="F2" s="1629"/>
      <c r="G2" s="1629"/>
      <c r="H2" s="1629"/>
      <c r="I2" s="1629"/>
      <c r="J2" s="1629"/>
      <c r="K2" s="1629"/>
      <c r="L2" s="1629"/>
      <c r="M2" s="1162"/>
      <c r="N2" s="1631" t="str">
        <f>B2</f>
        <v xml:space="preserve">      Maharashtra State Power Generation Company Ltd.</v>
      </c>
      <c r="O2" s="1631"/>
      <c r="P2" s="1631"/>
      <c r="Q2" s="1631"/>
      <c r="R2" s="1631"/>
      <c r="S2" s="1631"/>
      <c r="T2" s="1631"/>
      <c r="U2" s="1631"/>
      <c r="V2" s="1631"/>
      <c r="W2" s="1631"/>
      <c r="X2" s="1631"/>
    </row>
    <row r="3" spans="2:24" x14ac:dyDescent="0.35">
      <c r="B3" s="1629" t="str">
        <f>Index!B3</f>
        <v>MYT Petition Formats for Bhusawal Unit 3</v>
      </c>
      <c r="C3" s="1629"/>
      <c r="D3" s="1629"/>
      <c r="E3" s="1629"/>
      <c r="F3" s="1629"/>
      <c r="G3" s="1629"/>
      <c r="H3" s="1629"/>
      <c r="I3" s="1629"/>
      <c r="J3" s="1629"/>
      <c r="K3" s="1629"/>
      <c r="L3" s="1629"/>
      <c r="M3" s="1162"/>
      <c r="N3" s="1631" t="str">
        <f>B3</f>
        <v>MYT Petition Formats for Bhusawal Unit 3</v>
      </c>
      <c r="O3" s="1631"/>
      <c r="P3" s="1631"/>
      <c r="Q3" s="1631"/>
      <c r="R3" s="1631"/>
      <c r="S3" s="1631"/>
      <c r="T3" s="1631"/>
      <c r="U3" s="1631"/>
      <c r="V3" s="1631"/>
      <c r="W3" s="1631"/>
      <c r="X3" s="1631"/>
    </row>
    <row r="4" spans="2:24" x14ac:dyDescent="0.35">
      <c r="B4" s="1629" t="s">
        <v>382</v>
      </c>
      <c r="C4" s="1629"/>
      <c r="D4" s="1629"/>
      <c r="E4" s="1629"/>
      <c r="F4" s="1629"/>
      <c r="G4" s="1629"/>
      <c r="H4" s="1629"/>
      <c r="I4" s="1629"/>
      <c r="J4" s="1629"/>
      <c r="K4" s="1629"/>
      <c r="L4" s="1629"/>
      <c r="M4" s="1162"/>
      <c r="N4" s="1631" t="str">
        <f>B4</f>
        <v>Form 2.2: Energy Charges for Thermal Generation</v>
      </c>
      <c r="O4" s="1631"/>
      <c r="P4" s="1631"/>
      <c r="Q4" s="1631"/>
      <c r="R4" s="1631"/>
      <c r="S4" s="1631"/>
      <c r="T4" s="1631"/>
      <c r="U4" s="1631"/>
      <c r="V4" s="1631"/>
      <c r="W4" s="1631"/>
      <c r="X4" s="1631"/>
    </row>
    <row r="5" spans="2:24" s="1163" customFormat="1" x14ac:dyDescent="0.35">
      <c r="B5" s="1225"/>
      <c r="C5" s="1164"/>
      <c r="D5" s="1165"/>
      <c r="E5" s="1226"/>
      <c r="F5" s="1226"/>
      <c r="G5" s="1226"/>
      <c r="H5" s="1226"/>
      <c r="I5" s="1226"/>
      <c r="J5" s="1226"/>
      <c r="K5" s="1226"/>
      <c r="L5" s="1226"/>
      <c r="M5" s="1227"/>
      <c r="N5" s="1228"/>
      <c r="O5" s="1227"/>
      <c r="P5" s="1227"/>
      <c r="Q5" s="1227"/>
      <c r="R5" s="1227"/>
      <c r="S5" s="1227"/>
      <c r="T5" s="1227"/>
      <c r="U5" s="1227"/>
      <c r="V5" s="1227"/>
      <c r="W5" s="1227"/>
    </row>
    <row r="6" spans="2:24" s="1229" customFormat="1" ht="21" customHeight="1" x14ac:dyDescent="0.25">
      <c r="B6" s="1625" t="s">
        <v>340</v>
      </c>
      <c r="C6" s="1627" t="s">
        <v>38</v>
      </c>
      <c r="D6" s="1627" t="s">
        <v>95</v>
      </c>
      <c r="E6" s="1632" t="s">
        <v>505</v>
      </c>
      <c r="F6" s="1633"/>
      <c r="G6" s="1633"/>
      <c r="H6" s="1634"/>
      <c r="I6" s="1632" t="s">
        <v>506</v>
      </c>
      <c r="J6" s="1633"/>
      <c r="K6" s="1633"/>
      <c r="L6" s="1634"/>
      <c r="M6" s="1635" t="s">
        <v>507</v>
      </c>
      <c r="N6" s="1636"/>
      <c r="O6" s="1636"/>
      <c r="P6" s="1636"/>
      <c r="Q6" s="1636"/>
      <c r="R6" s="1637"/>
      <c r="S6" s="1630" t="s">
        <v>1066</v>
      </c>
      <c r="T6" s="1630"/>
      <c r="U6" s="1630"/>
      <c r="V6" s="1630"/>
      <c r="W6" s="1630"/>
      <c r="X6" s="1625" t="s">
        <v>28</v>
      </c>
    </row>
    <row r="7" spans="2:24" s="1229" customFormat="1" ht="43.5" customHeight="1" x14ac:dyDescent="0.25">
      <c r="B7" s="1627"/>
      <c r="C7" s="1627"/>
      <c r="D7" s="1627"/>
      <c r="E7" s="1130" t="s">
        <v>1680</v>
      </c>
      <c r="F7" s="1130" t="s">
        <v>916</v>
      </c>
      <c r="G7" s="1124" t="s">
        <v>813</v>
      </c>
      <c r="H7" s="1130" t="s">
        <v>449</v>
      </c>
      <c r="I7" s="1130" t="s">
        <v>1680</v>
      </c>
      <c r="J7" s="1130" t="s">
        <v>916</v>
      </c>
      <c r="K7" s="1130" t="s">
        <v>80</v>
      </c>
      <c r="L7" s="1130" t="s">
        <v>449</v>
      </c>
      <c r="M7" s="1130" t="s">
        <v>1680</v>
      </c>
      <c r="N7" s="1130" t="s">
        <v>916</v>
      </c>
      <c r="O7" s="1130" t="s">
        <v>443</v>
      </c>
      <c r="P7" s="1130" t="s">
        <v>447</v>
      </c>
      <c r="Q7" s="1130" t="s">
        <v>81</v>
      </c>
      <c r="R7" s="1130" t="s">
        <v>450</v>
      </c>
      <c r="S7" s="1130" t="s">
        <v>1067</v>
      </c>
      <c r="T7" s="1130" t="s">
        <v>1068</v>
      </c>
      <c r="U7" s="1130" t="s">
        <v>1069</v>
      </c>
      <c r="V7" s="1130" t="s">
        <v>1070</v>
      </c>
      <c r="W7" s="1130" t="s">
        <v>1071</v>
      </c>
      <c r="X7" s="1625"/>
    </row>
    <row r="8" spans="2:24" s="1229" customFormat="1" ht="24" customHeight="1" x14ac:dyDescent="0.25">
      <c r="B8" s="1627"/>
      <c r="C8" s="1627"/>
      <c r="D8" s="1627"/>
      <c r="E8" s="1130" t="s">
        <v>82</v>
      </c>
      <c r="F8" s="1130" t="s">
        <v>83</v>
      </c>
      <c r="G8" s="1130" t="s">
        <v>1670</v>
      </c>
      <c r="H8" s="1130" t="s">
        <v>1671</v>
      </c>
      <c r="I8" s="1130" t="s">
        <v>409</v>
      </c>
      <c r="J8" s="1130" t="s">
        <v>1672</v>
      </c>
      <c r="K8" s="1130" t="s">
        <v>410</v>
      </c>
      <c r="L8" s="1130" t="s">
        <v>1673</v>
      </c>
      <c r="M8" s="1130" t="s">
        <v>500</v>
      </c>
      <c r="N8" s="1130" t="s">
        <v>653</v>
      </c>
      <c r="O8" s="1130" t="s">
        <v>1674</v>
      </c>
      <c r="P8" s="1130" t="s">
        <v>590</v>
      </c>
      <c r="Q8" s="1130" t="s">
        <v>677</v>
      </c>
      <c r="R8" s="1130" t="s">
        <v>678</v>
      </c>
      <c r="S8" s="1130" t="s">
        <v>21</v>
      </c>
      <c r="T8" s="1130" t="s">
        <v>21</v>
      </c>
      <c r="U8" s="1130" t="s">
        <v>21</v>
      </c>
      <c r="V8" s="1130" t="s">
        <v>21</v>
      </c>
      <c r="W8" s="1130" t="s">
        <v>21</v>
      </c>
      <c r="X8" s="1628"/>
    </row>
    <row r="9" spans="2:24" s="1165" customFormat="1" x14ac:dyDescent="0.3">
      <c r="B9" s="1230"/>
      <c r="C9" s="1231"/>
      <c r="D9" s="1231"/>
      <c r="E9" s="1231"/>
      <c r="F9" s="1231"/>
      <c r="G9" s="1231"/>
      <c r="H9" s="1231"/>
      <c r="I9" s="1231"/>
      <c r="J9" s="1231"/>
      <c r="K9" s="1231"/>
      <c r="L9" s="1231"/>
      <c r="M9" s="1135"/>
      <c r="N9" s="1135"/>
      <c r="O9" s="1135"/>
      <c r="P9" s="1135"/>
      <c r="Q9" s="1135"/>
      <c r="R9" s="1135"/>
      <c r="S9" s="1135"/>
      <c r="T9" s="1135"/>
      <c r="U9" s="1135"/>
      <c r="V9" s="1135"/>
      <c r="W9" s="1135"/>
      <c r="X9" s="375"/>
    </row>
    <row r="10" spans="2:24" s="1165" customFormat="1" x14ac:dyDescent="0.3">
      <c r="B10" s="366">
        <v>1</v>
      </c>
      <c r="C10" s="376" t="s">
        <v>96</v>
      </c>
      <c r="D10" s="367"/>
      <c r="E10" s="1136"/>
      <c r="F10" s="1136"/>
      <c r="G10" s="1136"/>
      <c r="H10" s="1136"/>
      <c r="I10" s="1136"/>
      <c r="J10" s="1136"/>
      <c r="K10" s="1136"/>
      <c r="L10" s="1136"/>
      <c r="M10" s="375"/>
      <c r="N10" s="1232"/>
      <c r="O10" s="375"/>
      <c r="P10" s="375"/>
      <c r="Q10" s="375"/>
      <c r="R10" s="375"/>
      <c r="S10" s="375"/>
      <c r="T10" s="375"/>
      <c r="U10" s="375"/>
      <c r="V10" s="375"/>
      <c r="W10" s="375"/>
      <c r="X10" s="375"/>
    </row>
    <row r="11" spans="2:24" s="1165" customFormat="1" x14ac:dyDescent="0.35">
      <c r="B11" s="368">
        <f>B10+0.1</f>
        <v>1.1000000000000001</v>
      </c>
      <c r="C11" s="1216" t="s">
        <v>97</v>
      </c>
      <c r="D11" s="355" t="s">
        <v>98</v>
      </c>
      <c r="E11" s="1206">
        <f>F11</f>
        <v>210</v>
      </c>
      <c r="F11" s="1154">
        <f>G11</f>
        <v>210</v>
      </c>
      <c r="G11" s="1154">
        <v>210</v>
      </c>
      <c r="H11" s="1154"/>
      <c r="I11" s="1206">
        <v>210</v>
      </c>
      <c r="J11" s="1154">
        <f>K11</f>
        <v>210</v>
      </c>
      <c r="K11" s="1154">
        <v>210</v>
      </c>
      <c r="L11" s="1154"/>
      <c r="M11" s="1206">
        <v>210</v>
      </c>
      <c r="N11" s="1154">
        <f>O11</f>
        <v>210</v>
      </c>
      <c r="O11" s="1154">
        <v>210</v>
      </c>
      <c r="P11" s="1154">
        <v>210</v>
      </c>
      <c r="Q11" s="1118">
        <f>AVERAGE(O11:P11)</f>
        <v>210</v>
      </c>
      <c r="R11" s="1119"/>
      <c r="S11" s="1154">
        <v>210</v>
      </c>
      <c r="T11" s="1154">
        <v>210</v>
      </c>
      <c r="U11" s="1154">
        <v>210</v>
      </c>
      <c r="V11" s="1154">
        <v>210</v>
      </c>
      <c r="W11" s="1154">
        <v>210</v>
      </c>
      <c r="X11" s="375"/>
    </row>
    <row r="12" spans="2:24" s="1171" customFormat="1" ht="31" x14ac:dyDescent="0.35">
      <c r="B12" s="455">
        <f>B11+0.1</f>
        <v>1.2000000000000002</v>
      </c>
      <c r="C12" s="377" t="s">
        <v>99</v>
      </c>
      <c r="D12" s="377" t="s">
        <v>100</v>
      </c>
      <c r="E12" s="770">
        <f>'F2.1'!J15</f>
        <v>0.8</v>
      </c>
      <c r="F12" s="513">
        <f>E12</f>
        <v>0.8</v>
      </c>
      <c r="G12" s="513">
        <f>F12</f>
        <v>0.8</v>
      </c>
      <c r="H12" s="513">
        <f t="shared" ref="H12:H35" si="0">G12-F12</f>
        <v>0</v>
      </c>
      <c r="I12" s="770">
        <f>'F2.1'!I15</f>
        <v>0.8</v>
      </c>
      <c r="J12" s="513">
        <f>I12</f>
        <v>0.8</v>
      </c>
      <c r="K12" s="513">
        <f>J12</f>
        <v>0.8</v>
      </c>
      <c r="L12" s="513">
        <f t="shared" ref="L12:L38" si="1">K12-J12</f>
        <v>0</v>
      </c>
      <c r="M12" s="770">
        <f>'F2.1'!M15</f>
        <v>0.8</v>
      </c>
      <c r="N12" s="513">
        <f>M12</f>
        <v>0.8</v>
      </c>
      <c r="O12" s="513">
        <f>N12</f>
        <v>0.8</v>
      </c>
      <c r="P12" s="513">
        <f>O12</f>
        <v>0.8</v>
      </c>
      <c r="Q12" s="512">
        <f>AVERAGE(O12:P12)</f>
        <v>0.8</v>
      </c>
      <c r="R12" s="514">
        <f t="shared" ref="R12:R41" si="2">Q12-N12</f>
        <v>0</v>
      </c>
      <c r="S12" s="514">
        <v>0.8</v>
      </c>
      <c r="T12" s="514">
        <v>0.8</v>
      </c>
      <c r="U12" s="514">
        <v>0.8</v>
      </c>
      <c r="V12" s="514">
        <v>0.8</v>
      </c>
      <c r="W12" s="514">
        <v>0.8</v>
      </c>
      <c r="X12" s="510"/>
    </row>
    <row r="13" spans="2:24" s="1171" customFormat="1" ht="31" x14ac:dyDescent="0.35">
      <c r="B13" s="455">
        <v>1.3</v>
      </c>
      <c r="C13" s="377" t="s">
        <v>685</v>
      </c>
      <c r="D13" s="377" t="s">
        <v>100</v>
      </c>
      <c r="E13" s="607"/>
      <c r="F13" s="513">
        <f>G13</f>
        <v>0.56784999999999997</v>
      </c>
      <c r="G13" s="513">
        <f>'F2.1'!G16</f>
        <v>0.56784999999999997</v>
      </c>
      <c r="H13" s="513">
        <f t="shared" si="0"/>
        <v>0</v>
      </c>
      <c r="I13" s="607"/>
      <c r="J13" s="513">
        <f>K13</f>
        <v>0.62078</v>
      </c>
      <c r="K13" s="513">
        <v>0.62078</v>
      </c>
      <c r="L13" s="513">
        <f t="shared" si="1"/>
        <v>0</v>
      </c>
      <c r="M13" s="607"/>
      <c r="N13" s="513">
        <f>Q13</f>
        <v>0.67519300587732012</v>
      </c>
      <c r="O13" s="513">
        <v>0.7634701775956283</v>
      </c>
      <c r="P13" s="513">
        <v>0.79949372626845128</v>
      </c>
      <c r="Q13" s="512">
        <f>Q23/(Q11*8.76)</f>
        <v>0.67519300587732012</v>
      </c>
      <c r="R13" s="514">
        <f>'F2.1'!R16</f>
        <v>0</v>
      </c>
      <c r="S13" s="513">
        <f>'F2.1'!S16</f>
        <v>0.80028597075753394</v>
      </c>
      <c r="T13" s="513">
        <f>'F2.1'!T16</f>
        <v>0.8002561859553543</v>
      </c>
      <c r="U13" s="513">
        <f>'F2.1'!U16</f>
        <v>0.8002561859553543</v>
      </c>
      <c r="V13" s="513">
        <f>'F2.1'!V16</f>
        <v>0.8002561859553543</v>
      </c>
      <c r="W13" s="513">
        <f>'F2.1'!W16</f>
        <v>0.8002561859553543</v>
      </c>
      <c r="X13" s="510"/>
    </row>
    <row r="14" spans="2:24" s="1165" customFormat="1" x14ac:dyDescent="0.35">
      <c r="B14" s="368" t="s">
        <v>686</v>
      </c>
      <c r="C14" s="1216" t="s">
        <v>643</v>
      </c>
      <c r="D14" s="355"/>
      <c r="E14" s="607"/>
      <c r="F14" s="512"/>
      <c r="G14" s="512"/>
      <c r="H14" s="513"/>
      <c r="I14" s="607"/>
      <c r="J14" s="512"/>
      <c r="K14" s="512"/>
      <c r="L14" s="512"/>
      <c r="M14" s="607"/>
      <c r="N14" s="512"/>
      <c r="O14" s="512"/>
      <c r="P14" s="512"/>
      <c r="Q14" s="512"/>
      <c r="R14" s="514"/>
      <c r="S14" s="512"/>
      <c r="T14" s="512"/>
      <c r="U14" s="512"/>
      <c r="V14" s="512"/>
      <c r="W14" s="512"/>
      <c r="X14" s="375"/>
    </row>
    <row r="15" spans="2:24" s="1165" customFormat="1" x14ac:dyDescent="0.35">
      <c r="B15" s="368"/>
      <c r="C15" s="1216" t="s">
        <v>644</v>
      </c>
      <c r="D15" s="355" t="s">
        <v>100</v>
      </c>
      <c r="E15" s="607"/>
      <c r="F15" s="512">
        <f>G15</f>
        <v>0.61107</v>
      </c>
      <c r="G15" s="512">
        <v>0.61107</v>
      </c>
      <c r="H15" s="513">
        <f t="shared" si="0"/>
        <v>0</v>
      </c>
      <c r="I15" s="607"/>
      <c r="J15" s="512"/>
      <c r="K15" s="512">
        <v>0.78910999999999998</v>
      </c>
      <c r="L15" s="512">
        <f t="shared" si="1"/>
        <v>0.78910999999999998</v>
      </c>
      <c r="M15" s="607"/>
      <c r="N15" s="512"/>
      <c r="O15" s="512"/>
      <c r="P15" s="512"/>
      <c r="Q15" s="512">
        <f>O15+P15</f>
        <v>0</v>
      </c>
      <c r="R15" s="514"/>
      <c r="S15" s="512"/>
      <c r="T15" s="512"/>
      <c r="U15" s="512"/>
      <c r="V15" s="512"/>
      <c r="W15" s="512"/>
      <c r="X15" s="375"/>
    </row>
    <row r="16" spans="2:24" s="1165" customFormat="1" x14ac:dyDescent="0.35">
      <c r="B16" s="368"/>
      <c r="C16" s="1216" t="s">
        <v>645</v>
      </c>
      <c r="D16" s="355" t="s">
        <v>100</v>
      </c>
      <c r="E16" s="607"/>
      <c r="F16" s="512">
        <f t="shared" ref="F16:F19" si="3">G16</f>
        <v>0.61043999999999998</v>
      </c>
      <c r="G16" s="512">
        <v>0.61043999999999998</v>
      </c>
      <c r="H16" s="513">
        <f t="shared" si="0"/>
        <v>0</v>
      </c>
      <c r="I16" s="607"/>
      <c r="J16" s="512"/>
      <c r="K16" s="512">
        <v>0.79518999999999995</v>
      </c>
      <c r="L16" s="512">
        <f t="shared" si="1"/>
        <v>0.79518999999999995</v>
      </c>
      <c r="M16" s="607"/>
      <c r="N16" s="512"/>
      <c r="O16" s="512"/>
      <c r="P16" s="512"/>
      <c r="Q16" s="512">
        <f t="shared" ref="Q16:Q31" si="4">O16+P16</f>
        <v>0</v>
      </c>
      <c r="R16" s="514"/>
      <c r="S16" s="512"/>
      <c r="T16" s="512"/>
      <c r="U16" s="512"/>
      <c r="V16" s="512"/>
      <c r="W16" s="512"/>
      <c r="X16" s="375"/>
    </row>
    <row r="17" spans="2:24" s="1165" customFormat="1" x14ac:dyDescent="0.35">
      <c r="B17" s="368" t="s">
        <v>687</v>
      </c>
      <c r="C17" s="1216" t="s">
        <v>646</v>
      </c>
      <c r="D17" s="355"/>
      <c r="E17" s="607"/>
      <c r="F17" s="512"/>
      <c r="G17" s="512"/>
      <c r="H17" s="513"/>
      <c r="I17" s="607"/>
      <c r="J17" s="512"/>
      <c r="K17" s="512"/>
      <c r="L17" s="512"/>
      <c r="M17" s="607"/>
      <c r="N17" s="512"/>
      <c r="O17" s="512"/>
      <c r="P17" s="512"/>
      <c r="Q17" s="512"/>
      <c r="R17" s="514"/>
      <c r="S17" s="512"/>
      <c r="T17" s="512"/>
      <c r="U17" s="512"/>
      <c r="V17" s="512"/>
      <c r="W17" s="512"/>
      <c r="X17" s="375"/>
    </row>
    <row r="18" spans="2:24" s="1165" customFormat="1" x14ac:dyDescent="0.35">
      <c r="B18" s="368"/>
      <c r="C18" s="1216" t="s">
        <v>644</v>
      </c>
      <c r="D18" s="355" t="s">
        <v>100</v>
      </c>
      <c r="E18" s="607"/>
      <c r="F18" s="512">
        <f t="shared" si="3"/>
        <v>0.55110999999999999</v>
      </c>
      <c r="G18" s="512">
        <v>0.55110999999999999</v>
      </c>
      <c r="H18" s="513">
        <f t="shared" si="0"/>
        <v>0</v>
      </c>
      <c r="I18" s="607"/>
      <c r="J18" s="512"/>
      <c r="K18" s="512">
        <v>0.56247000000000003</v>
      </c>
      <c r="L18" s="512">
        <f t="shared" si="1"/>
        <v>0.56247000000000003</v>
      </c>
      <c r="M18" s="607"/>
      <c r="N18" s="512"/>
      <c r="O18" s="512"/>
      <c r="P18" s="512"/>
      <c r="Q18" s="512">
        <f t="shared" si="4"/>
        <v>0</v>
      </c>
      <c r="R18" s="514"/>
      <c r="S18" s="512"/>
      <c r="T18" s="512"/>
      <c r="U18" s="512"/>
      <c r="V18" s="512"/>
      <c r="W18" s="512"/>
      <c r="X18" s="375"/>
    </row>
    <row r="19" spans="2:24" s="1165" customFormat="1" x14ac:dyDescent="0.35">
      <c r="B19" s="368"/>
      <c r="C19" s="1216" t="s">
        <v>645</v>
      </c>
      <c r="D19" s="355" t="s">
        <v>100</v>
      </c>
      <c r="E19" s="607"/>
      <c r="F19" s="512">
        <f t="shared" si="3"/>
        <v>0.55418000000000001</v>
      </c>
      <c r="G19" s="512">
        <v>0.55418000000000001</v>
      </c>
      <c r="H19" s="513">
        <f t="shared" si="0"/>
        <v>0</v>
      </c>
      <c r="I19" s="607"/>
      <c r="J19" s="512"/>
      <c r="K19" s="512">
        <v>0.56257999999999997</v>
      </c>
      <c r="L19" s="512">
        <f t="shared" si="1"/>
        <v>0.56257999999999997</v>
      </c>
      <c r="M19" s="607"/>
      <c r="N19" s="512"/>
      <c r="O19" s="512"/>
      <c r="P19" s="512"/>
      <c r="Q19" s="512">
        <f t="shared" si="4"/>
        <v>0</v>
      </c>
      <c r="R19" s="514"/>
      <c r="S19" s="512"/>
      <c r="T19" s="512"/>
      <c r="U19" s="512"/>
      <c r="V19" s="512"/>
      <c r="W19" s="512"/>
      <c r="X19" s="375"/>
    </row>
    <row r="20" spans="2:24" s="1171" customFormat="1" x14ac:dyDescent="0.35">
      <c r="B20" s="455">
        <v>1.4</v>
      </c>
      <c r="C20" s="377" t="s">
        <v>101</v>
      </c>
      <c r="D20" s="377" t="s">
        <v>100</v>
      </c>
      <c r="E20" s="607">
        <f>'F2.1'!E25</f>
        <v>0.85</v>
      </c>
      <c r="F20" s="512">
        <f>E20</f>
        <v>0.85</v>
      </c>
      <c r="G20" s="604">
        <f>'F2.1'!G25</f>
        <v>0</v>
      </c>
      <c r="H20" s="604">
        <f>G20-F20</f>
        <v>-0.85</v>
      </c>
      <c r="I20" s="607">
        <f>'F2.1'!I25</f>
        <v>0.85</v>
      </c>
      <c r="J20" s="604"/>
      <c r="K20" s="604">
        <v>0.85</v>
      </c>
      <c r="L20" s="604">
        <f>K20-J20</f>
        <v>0.85</v>
      </c>
      <c r="M20" s="1185">
        <f>'F2.1'!M25</f>
        <v>0.85</v>
      </c>
      <c r="N20" s="604">
        <f>M20</f>
        <v>0.85</v>
      </c>
      <c r="O20" s="604">
        <f>N20</f>
        <v>0.85</v>
      </c>
      <c r="P20" s="604">
        <f>N20</f>
        <v>0.85</v>
      </c>
      <c r="Q20" s="605">
        <f>N20</f>
        <v>0.85</v>
      </c>
      <c r="R20" s="605">
        <f t="shared" si="2"/>
        <v>0</v>
      </c>
      <c r="S20" s="604">
        <v>0.85</v>
      </c>
      <c r="T20" s="604">
        <v>0.85</v>
      </c>
      <c r="U20" s="604">
        <v>0.85</v>
      </c>
      <c r="V20" s="604">
        <v>0.85</v>
      </c>
      <c r="W20" s="604">
        <v>0.85</v>
      </c>
      <c r="X20" s="606"/>
    </row>
    <row r="21" spans="2:24" s="1171" customFormat="1" ht="31" x14ac:dyDescent="0.35">
      <c r="B21" s="455">
        <v>1.5</v>
      </c>
      <c r="C21" s="377" t="s">
        <v>688</v>
      </c>
      <c r="D21" s="377" t="s">
        <v>100</v>
      </c>
      <c r="E21" s="1186"/>
      <c r="F21" s="604">
        <f>G21</f>
        <v>0.39032</v>
      </c>
      <c r="G21" s="604">
        <f>'F2.1'!G26</f>
        <v>0.39032</v>
      </c>
      <c r="H21" s="604">
        <f t="shared" si="0"/>
        <v>0</v>
      </c>
      <c r="I21" s="770"/>
      <c r="J21" s="604">
        <f>K21</f>
        <v>0.54808999999999997</v>
      </c>
      <c r="K21" s="604">
        <v>0.54808999999999997</v>
      </c>
      <c r="L21" s="604">
        <f t="shared" si="1"/>
        <v>0</v>
      </c>
      <c r="M21" s="770"/>
      <c r="N21" s="604">
        <f>Q21</f>
        <v>0.67519300587732012</v>
      </c>
      <c r="O21" s="604">
        <v>0.53799572677595642</v>
      </c>
      <c r="P21" s="604">
        <v>0.79949372626845128</v>
      </c>
      <c r="Q21" s="602">
        <f>Q13</f>
        <v>0.67519300587732012</v>
      </c>
      <c r="R21" s="605">
        <f t="shared" si="2"/>
        <v>0</v>
      </c>
      <c r="S21" s="604">
        <v>0.80028597075753394</v>
      </c>
      <c r="T21" s="604">
        <v>0.8002561859553543</v>
      </c>
      <c r="U21" s="604">
        <v>0.8002561859553543</v>
      </c>
      <c r="V21" s="604">
        <v>0.8002561859553543</v>
      </c>
      <c r="W21" s="604">
        <v>0.8002561859553543</v>
      </c>
      <c r="X21" s="606"/>
    </row>
    <row r="22" spans="2:24" s="1165" customFormat="1" x14ac:dyDescent="0.35">
      <c r="B22" s="368">
        <v>1.6</v>
      </c>
      <c r="C22" s="377" t="s">
        <v>681</v>
      </c>
      <c r="D22" s="355" t="s">
        <v>100</v>
      </c>
      <c r="E22" s="607"/>
      <c r="F22" s="512"/>
      <c r="G22" s="512"/>
      <c r="H22" s="513">
        <f t="shared" si="0"/>
        <v>0</v>
      </c>
      <c r="I22" s="607"/>
      <c r="J22" s="513"/>
      <c r="K22" s="513"/>
      <c r="L22" s="513">
        <f t="shared" si="1"/>
        <v>0</v>
      </c>
      <c r="M22" s="607"/>
      <c r="N22" s="513"/>
      <c r="O22" s="513"/>
      <c r="P22" s="513"/>
      <c r="Q22" s="514"/>
      <c r="R22" s="513">
        <f t="shared" si="2"/>
        <v>0</v>
      </c>
      <c r="S22" s="513"/>
      <c r="T22" s="513"/>
      <c r="U22" s="513"/>
      <c r="V22" s="513"/>
      <c r="W22" s="513"/>
      <c r="X22" s="375"/>
    </row>
    <row r="23" spans="2:24" s="1165" customFormat="1" ht="31" x14ac:dyDescent="0.35">
      <c r="B23" s="368">
        <v>1.7</v>
      </c>
      <c r="C23" s="1216" t="s">
        <v>689</v>
      </c>
      <c r="D23" s="355" t="s">
        <v>102</v>
      </c>
      <c r="E23" s="610">
        <f>'F2.1'!E30</f>
        <v>1145.6976487747097</v>
      </c>
      <c r="F23" s="1150">
        <f>G23</f>
        <v>715.52599999999995</v>
      </c>
      <c r="G23" s="1150">
        <f>'F2.1'!F30</f>
        <v>715.52599999999995</v>
      </c>
      <c r="H23" s="1150">
        <f t="shared" si="0"/>
        <v>0</v>
      </c>
      <c r="I23" s="610">
        <f>'F2.1'!I30</f>
        <v>1471.1528447517178</v>
      </c>
      <c r="J23" s="1150">
        <f>'F2.1'!$J$30</f>
        <v>1016.0400000000002</v>
      </c>
      <c r="K23" s="1150">
        <v>1016.0400000000002</v>
      </c>
      <c r="L23" s="1150">
        <f t="shared" si="1"/>
        <v>0</v>
      </c>
      <c r="M23" s="610"/>
      <c r="N23" s="1150">
        <f>Q23</f>
        <v>1242.0850536119181</v>
      </c>
      <c r="O23" s="1150">
        <v>504.69600000000003</v>
      </c>
      <c r="P23" s="1150">
        <v>737.38905361191803</v>
      </c>
      <c r="Q23" s="502">
        <f>O23+P23</f>
        <v>1242.0850536119181</v>
      </c>
      <c r="R23" s="1150">
        <f t="shared" si="2"/>
        <v>0</v>
      </c>
      <c r="S23" s="1151">
        <f>S113/S40</f>
        <v>1472.2060718055593</v>
      </c>
      <c r="T23" s="1151">
        <f>T113/T40</f>
        <v>1472.1512796834697</v>
      </c>
      <c r="U23" s="1151">
        <f t="shared" ref="U23:W23" si="5">U113/U40</f>
        <v>1472.1512796834697</v>
      </c>
      <c r="V23" s="1151">
        <f>V113/V40</f>
        <v>1472.1512796834697</v>
      </c>
      <c r="W23" s="1151">
        <f t="shared" si="5"/>
        <v>1472.1512796834697</v>
      </c>
      <c r="X23" s="379"/>
    </row>
    <row r="24" spans="2:24" s="1165" customFormat="1" x14ac:dyDescent="0.35">
      <c r="B24" s="368">
        <v>1.8</v>
      </c>
      <c r="C24" s="1216" t="s">
        <v>694</v>
      </c>
      <c r="D24" s="355" t="s">
        <v>102</v>
      </c>
      <c r="E24" s="610"/>
      <c r="F24" s="502">
        <f>'F2.1'!F31</f>
        <v>1471.68</v>
      </c>
      <c r="G24" s="502"/>
      <c r="H24" s="502"/>
      <c r="I24" s="610"/>
      <c r="J24" s="502">
        <f>'F2.1'!J31</f>
        <v>1475.712</v>
      </c>
      <c r="K24" s="502"/>
      <c r="L24" s="1150"/>
      <c r="M24" s="610"/>
      <c r="N24" s="1150">
        <f>N38/(1-N29)</f>
        <v>0</v>
      </c>
      <c r="O24" s="1150">
        <f>O38/(1-O29)</f>
        <v>0</v>
      </c>
      <c r="P24" s="1150">
        <f>P38/(1-P29)</f>
        <v>0</v>
      </c>
      <c r="Q24" s="502">
        <f t="shared" si="4"/>
        <v>0</v>
      </c>
      <c r="R24" s="1150">
        <f t="shared" si="2"/>
        <v>0</v>
      </c>
      <c r="S24" s="1150"/>
      <c r="T24" s="1150"/>
      <c r="U24" s="1150"/>
      <c r="V24" s="1150"/>
      <c r="W24" s="1150"/>
      <c r="X24" s="375"/>
    </row>
    <row r="25" spans="2:24" s="1165" customFormat="1" ht="31" x14ac:dyDescent="0.35">
      <c r="B25" s="370">
        <v>1.9</v>
      </c>
      <c r="C25" s="1216" t="s">
        <v>1086</v>
      </c>
      <c r="D25" s="355" t="s">
        <v>100</v>
      </c>
      <c r="E25" s="770">
        <f>'F2.1'!E34</f>
        <v>0.1096</v>
      </c>
      <c r="F25" s="770">
        <f>'F2.1'!F34</f>
        <v>0.1096</v>
      </c>
      <c r="G25" s="1187"/>
      <c r="H25" s="1187"/>
      <c r="I25" s="770">
        <f>'F2.1'!I34</f>
        <v>0.1096</v>
      </c>
      <c r="J25" s="770">
        <f>'F2.1'!J34</f>
        <v>0.1096</v>
      </c>
      <c r="K25" s="1187"/>
      <c r="L25" s="1187"/>
      <c r="M25" s="770">
        <f>'F2.1'!M34</f>
        <v>0.1096</v>
      </c>
      <c r="N25" s="770">
        <f>'F2.1'!N34</f>
        <v>0.1096</v>
      </c>
      <c r="O25" s="1187"/>
      <c r="P25" s="1187"/>
      <c r="Q25" s="1187"/>
      <c r="R25" s="1187"/>
      <c r="S25" s="509">
        <v>0.1096</v>
      </c>
      <c r="T25" s="509">
        <v>0.1096</v>
      </c>
      <c r="U25" s="509">
        <v>0.1096</v>
      </c>
      <c r="V25" s="509">
        <v>0.1096</v>
      </c>
      <c r="W25" s="509">
        <v>0.1096</v>
      </c>
      <c r="X25" s="375"/>
    </row>
    <row r="26" spans="2:24" s="1165" customFormat="1" ht="31" x14ac:dyDescent="0.25">
      <c r="B26" s="371">
        <v>1.1000000000000001</v>
      </c>
      <c r="C26" s="1216" t="s">
        <v>690</v>
      </c>
      <c r="D26" s="355" t="s">
        <v>100</v>
      </c>
      <c r="E26" s="770"/>
      <c r="F26" s="770"/>
      <c r="G26" s="1187"/>
      <c r="H26" s="1187"/>
      <c r="I26" s="770"/>
      <c r="J26" s="770"/>
      <c r="K26" s="1187"/>
      <c r="L26" s="1187"/>
      <c r="M26" s="770"/>
      <c r="N26" s="770"/>
      <c r="O26" s="1187"/>
      <c r="P26" s="1187"/>
      <c r="Q26" s="1187"/>
      <c r="R26" s="1187"/>
      <c r="S26" s="509">
        <v>0</v>
      </c>
      <c r="T26" s="509">
        <v>0</v>
      </c>
      <c r="U26" s="509">
        <v>0</v>
      </c>
      <c r="V26" s="509">
        <v>0</v>
      </c>
      <c r="W26" s="509">
        <v>0</v>
      </c>
      <c r="X26" s="375"/>
    </row>
    <row r="27" spans="2:24" s="1165" customFormat="1" ht="46.5" x14ac:dyDescent="0.25">
      <c r="B27" s="371">
        <f>B26+0.01</f>
        <v>1.1100000000000001</v>
      </c>
      <c r="C27" s="1216" t="s">
        <v>1087</v>
      </c>
      <c r="D27" s="355" t="s">
        <v>100</v>
      </c>
      <c r="E27" s="770"/>
      <c r="F27" s="770"/>
      <c r="G27" s="1187"/>
      <c r="H27" s="1187"/>
      <c r="I27" s="770"/>
      <c r="J27" s="770"/>
      <c r="K27" s="1187"/>
      <c r="L27" s="1187"/>
      <c r="M27" s="770"/>
      <c r="N27" s="770"/>
      <c r="O27" s="1187"/>
      <c r="P27" s="1187"/>
      <c r="Q27" s="1187"/>
      <c r="R27" s="1187"/>
      <c r="S27" s="509">
        <v>0</v>
      </c>
      <c r="T27" s="509">
        <v>0</v>
      </c>
      <c r="U27" s="509">
        <v>0</v>
      </c>
      <c r="V27" s="509">
        <v>0</v>
      </c>
      <c r="W27" s="509">
        <v>0</v>
      </c>
      <c r="X27" s="375"/>
    </row>
    <row r="28" spans="2:24" s="1165" customFormat="1" ht="31" x14ac:dyDescent="0.25">
      <c r="B28" s="371">
        <f>B27+0.01</f>
        <v>1.1200000000000001</v>
      </c>
      <c r="C28" s="1216" t="s">
        <v>1091</v>
      </c>
      <c r="D28" s="355" t="s">
        <v>100</v>
      </c>
      <c r="E28" s="509">
        <f>SUM(E25:E27)</f>
        <v>0.1096</v>
      </c>
      <c r="F28" s="509">
        <f>SUM(F25:F27)</f>
        <v>0.1096</v>
      </c>
      <c r="G28" s="1187"/>
      <c r="H28" s="1187"/>
      <c r="I28" s="1143">
        <f>SUM(I25:I27)</f>
        <v>0.1096</v>
      </c>
      <c r="J28" s="1143">
        <f>SUM(J25:J27)</f>
        <v>0.1096</v>
      </c>
      <c r="K28" s="1187"/>
      <c r="L28" s="1187"/>
      <c r="M28" s="1143">
        <f>SUM(M25:M27)</f>
        <v>0.1096</v>
      </c>
      <c r="N28" s="1143">
        <f>SUM(N25:N27)</f>
        <v>0.1096</v>
      </c>
      <c r="O28" s="1187"/>
      <c r="P28" s="1187"/>
      <c r="Q28" s="1187"/>
      <c r="R28" s="1187"/>
      <c r="S28" s="509">
        <f t="shared" ref="S28" si="6">SUM(S25:S27)</f>
        <v>0.1096</v>
      </c>
      <c r="T28" s="509">
        <f t="shared" ref="T28" si="7">SUM(T25:T27)</f>
        <v>0.1096</v>
      </c>
      <c r="U28" s="509">
        <f t="shared" ref="U28" si="8">SUM(U25:U27)</f>
        <v>0.1096</v>
      </c>
      <c r="V28" s="509">
        <f t="shared" ref="V28" si="9">SUM(V25:V27)</f>
        <v>0.1096</v>
      </c>
      <c r="W28" s="509">
        <f t="shared" ref="W28" si="10">SUM(W25:W27)</f>
        <v>0.1096</v>
      </c>
      <c r="X28" s="375"/>
    </row>
    <row r="29" spans="2:24" s="1171" customFormat="1" ht="46.5" x14ac:dyDescent="0.25">
      <c r="B29" s="377">
        <v>1.1100000000000001</v>
      </c>
      <c r="C29" s="377" t="s">
        <v>1092</v>
      </c>
      <c r="D29" s="377" t="s">
        <v>100</v>
      </c>
      <c r="E29" s="1187"/>
      <c r="F29" s="1187"/>
      <c r="G29" s="509">
        <f>'F2.1'!G38</f>
        <v>0.14563132576594004</v>
      </c>
      <c r="H29" s="509">
        <f>G29-F25</f>
        <v>3.6031325765940037E-2</v>
      </c>
      <c r="I29" s="1188"/>
      <c r="J29" s="1187"/>
      <c r="K29" s="509">
        <f>'F2.1'!K38</f>
        <v>0.13426666272981375</v>
      </c>
      <c r="L29" s="509">
        <f>K29-J25</f>
        <v>2.4666662729813743E-2</v>
      </c>
      <c r="M29" s="1188"/>
      <c r="N29" s="1187"/>
      <c r="O29" s="509">
        <v>0.13728768739082553</v>
      </c>
      <c r="P29" s="509">
        <v>0.1096</v>
      </c>
      <c r="Q29" s="435">
        <f>Q36/Q23</f>
        <v>0.12085032865886651</v>
      </c>
      <c r="R29" s="509">
        <f>Q29-N25</f>
        <v>1.1250328658866507E-2</v>
      </c>
      <c r="S29" s="509">
        <v>0.1096</v>
      </c>
      <c r="T29" s="509">
        <v>0.1096</v>
      </c>
      <c r="U29" s="509">
        <v>0.1096</v>
      </c>
      <c r="V29" s="509">
        <v>0.1096</v>
      </c>
      <c r="W29" s="509">
        <v>0.1096</v>
      </c>
      <c r="X29" s="379"/>
    </row>
    <row r="30" spans="2:24" s="1165" customFormat="1" ht="46.5" x14ac:dyDescent="0.25">
      <c r="B30" s="355">
        <v>1.1200000000000001</v>
      </c>
      <c r="C30" s="1216" t="s">
        <v>691</v>
      </c>
      <c r="D30" s="355" t="s">
        <v>100</v>
      </c>
      <c r="E30" s="1187"/>
      <c r="F30" s="1187"/>
      <c r="G30" s="509"/>
      <c r="H30" s="509">
        <f t="shared" ref="H30:H32" si="11">G30-F26</f>
        <v>0</v>
      </c>
      <c r="I30" s="1188"/>
      <c r="J30" s="1187"/>
      <c r="K30" s="509">
        <f>'F2.1'!K39</f>
        <v>0</v>
      </c>
      <c r="L30" s="509">
        <f t="shared" ref="L30:L32" si="12">K30-J26</f>
        <v>0</v>
      </c>
      <c r="M30" s="1188"/>
      <c r="N30" s="1187"/>
      <c r="O30" s="509">
        <v>0</v>
      </c>
      <c r="P30" s="509">
        <v>0</v>
      </c>
      <c r="Q30" s="509">
        <f t="shared" si="4"/>
        <v>0</v>
      </c>
      <c r="R30" s="509">
        <f t="shared" ref="R30:R32" si="13">Q30-N26</f>
        <v>0</v>
      </c>
      <c r="S30" s="509">
        <v>0</v>
      </c>
      <c r="T30" s="509">
        <v>0</v>
      </c>
      <c r="U30" s="509">
        <v>0</v>
      </c>
      <c r="V30" s="509">
        <v>0</v>
      </c>
      <c r="W30" s="509">
        <v>0</v>
      </c>
      <c r="X30" s="375"/>
    </row>
    <row r="31" spans="2:24" s="1165" customFormat="1" ht="46.5" x14ac:dyDescent="0.25">
      <c r="B31" s="355"/>
      <c r="C31" s="1216" t="s">
        <v>1089</v>
      </c>
      <c r="D31" s="355" t="s">
        <v>100</v>
      </c>
      <c r="E31" s="1187"/>
      <c r="F31" s="1187"/>
      <c r="G31" s="509"/>
      <c r="H31" s="509">
        <f t="shared" si="11"/>
        <v>0</v>
      </c>
      <c r="I31" s="1188"/>
      <c r="J31" s="1187"/>
      <c r="K31" s="509">
        <f>'F2.1'!K40</f>
        <v>0</v>
      </c>
      <c r="L31" s="509">
        <f t="shared" si="12"/>
        <v>0</v>
      </c>
      <c r="M31" s="1188"/>
      <c r="N31" s="1187"/>
      <c r="O31" s="509">
        <v>0</v>
      </c>
      <c r="P31" s="509">
        <v>0</v>
      </c>
      <c r="Q31" s="509">
        <f t="shared" si="4"/>
        <v>0</v>
      </c>
      <c r="R31" s="509">
        <f t="shared" si="13"/>
        <v>0</v>
      </c>
      <c r="S31" s="509">
        <v>0</v>
      </c>
      <c r="T31" s="509">
        <v>0</v>
      </c>
      <c r="U31" s="509">
        <v>0</v>
      </c>
      <c r="V31" s="509">
        <v>0</v>
      </c>
      <c r="W31" s="509">
        <v>0</v>
      </c>
      <c r="X31" s="375"/>
    </row>
    <row r="32" spans="2:24" s="1165" customFormat="1" ht="31" x14ac:dyDescent="0.25">
      <c r="B32" s="355"/>
      <c r="C32" s="1216" t="s">
        <v>1090</v>
      </c>
      <c r="D32" s="355" t="s">
        <v>100</v>
      </c>
      <c r="E32" s="1187"/>
      <c r="F32" s="1187"/>
      <c r="G32" s="509">
        <f>SUM(G29:G31)</f>
        <v>0.14563132576594004</v>
      </c>
      <c r="H32" s="509">
        <f t="shared" si="11"/>
        <v>3.6031325765940037E-2</v>
      </c>
      <c r="I32" s="1188"/>
      <c r="J32" s="1187"/>
      <c r="K32" s="509">
        <f>SUM(K29:K31)</f>
        <v>0.13426666272981375</v>
      </c>
      <c r="L32" s="509">
        <f t="shared" si="12"/>
        <v>2.4666662729813743E-2</v>
      </c>
      <c r="M32" s="1188"/>
      <c r="N32" s="1187"/>
      <c r="O32" s="509">
        <f>SUM(O29:O31)</f>
        <v>0.13728768739082553</v>
      </c>
      <c r="P32" s="509">
        <f>SUM(P29:P31)</f>
        <v>0.1096</v>
      </c>
      <c r="Q32" s="509">
        <f>SUM(Q29:Q31)</f>
        <v>0.12085032865886651</v>
      </c>
      <c r="R32" s="509">
        <f t="shared" si="13"/>
        <v>1.1250328658866507E-2</v>
      </c>
      <c r="S32" s="509">
        <f>SUM(S29:S31)</f>
        <v>0.1096</v>
      </c>
      <c r="T32" s="509">
        <f t="shared" ref="T32:W32" si="14">SUM(T29:T31)</f>
        <v>0.1096</v>
      </c>
      <c r="U32" s="509">
        <f t="shared" si="14"/>
        <v>0.1096</v>
      </c>
      <c r="V32" s="509">
        <f t="shared" si="14"/>
        <v>0.1096</v>
      </c>
      <c r="W32" s="509">
        <f t="shared" si="14"/>
        <v>0.1096</v>
      </c>
      <c r="X32" s="375"/>
    </row>
    <row r="33" spans="2:24" ht="46.5" x14ac:dyDescent="0.35">
      <c r="B33" s="374"/>
      <c r="C33" s="377" t="s">
        <v>1092</v>
      </c>
      <c r="D33" s="355" t="s">
        <v>102</v>
      </c>
      <c r="E33" s="1150">
        <f>E$23*E25</f>
        <v>125.56846230570818</v>
      </c>
      <c r="F33" s="1150">
        <f>F$23*F25</f>
        <v>78.421649599999995</v>
      </c>
      <c r="G33" s="1150">
        <f>G$23*G29</f>
        <v>104.203</v>
      </c>
      <c r="H33" s="1150">
        <f t="shared" ref="H33" si="15">G33-F33</f>
        <v>25.781350400000008</v>
      </c>
      <c r="I33" s="1151">
        <f>I$23*I25</f>
        <v>161.23835178478828</v>
      </c>
      <c r="J33" s="1150">
        <f t="shared" ref="J33:J35" si="16">J$23*J25</f>
        <v>111.35798400000003</v>
      </c>
      <c r="K33" s="1150">
        <f>K$23*K29</f>
        <v>136.4203</v>
      </c>
      <c r="L33" s="1150">
        <f t="shared" ref="L33:L35" si="17">K33-J33</f>
        <v>25.062315999999967</v>
      </c>
      <c r="M33" s="1151">
        <f>M$23*M25</f>
        <v>0</v>
      </c>
      <c r="N33" s="1150">
        <f>N$23*N25</f>
        <v>136.13252187586622</v>
      </c>
      <c r="O33" s="1150">
        <f t="shared" ref="O33:P35" si="18">O$23*O29</f>
        <v>69.288546675400084</v>
      </c>
      <c r="P33" s="1150">
        <f t="shared" si="18"/>
        <v>80.817840275866217</v>
      </c>
      <c r="Q33" s="1150">
        <f>SUM(O33:P33)</f>
        <v>150.1063869512663</v>
      </c>
      <c r="R33" s="1150">
        <f>Q33-N33</f>
        <v>13.973865075400084</v>
      </c>
      <c r="S33" s="1150">
        <f>S$23*S29</f>
        <v>161.35378546988932</v>
      </c>
      <c r="T33" s="1150">
        <f t="shared" ref="T33:W33" si="19">T$23*T29</f>
        <v>161.34778025330829</v>
      </c>
      <c r="U33" s="1150">
        <f t="shared" si="19"/>
        <v>161.34778025330829</v>
      </c>
      <c r="V33" s="1150">
        <f t="shared" si="19"/>
        <v>161.34778025330829</v>
      </c>
      <c r="W33" s="1150">
        <f t="shared" si="19"/>
        <v>161.34778025330829</v>
      </c>
      <c r="X33" s="1212"/>
    </row>
    <row r="34" spans="2:24" s="1165" customFormat="1" ht="46.5" x14ac:dyDescent="0.25">
      <c r="B34" s="371">
        <v>1.1399999999999999</v>
      </c>
      <c r="C34" s="1216" t="s">
        <v>1094</v>
      </c>
      <c r="D34" s="355" t="s">
        <v>102</v>
      </c>
      <c r="E34" s="1150">
        <f t="shared" ref="E34:F35" si="20">E$23*E26</f>
        <v>0</v>
      </c>
      <c r="F34" s="1150">
        <f t="shared" si="20"/>
        <v>0</v>
      </c>
      <c r="G34" s="1150">
        <f>G$23*G30</f>
        <v>0</v>
      </c>
      <c r="H34" s="1150">
        <f t="shared" si="0"/>
        <v>0</v>
      </c>
      <c r="I34" s="1151">
        <f t="shared" ref="I34:I35" si="21">I$23*I26</f>
        <v>0</v>
      </c>
      <c r="J34" s="1150">
        <f t="shared" si="16"/>
        <v>0</v>
      </c>
      <c r="K34" s="1150">
        <f>K$23*K30</f>
        <v>0</v>
      </c>
      <c r="L34" s="1150">
        <f t="shared" si="17"/>
        <v>0</v>
      </c>
      <c r="M34" s="1151">
        <f t="shared" ref="M34:M35" si="22">M$23*M26</f>
        <v>0</v>
      </c>
      <c r="N34" s="1150">
        <f>N$23*N26</f>
        <v>0</v>
      </c>
      <c r="O34" s="1150">
        <f t="shared" si="18"/>
        <v>0</v>
      </c>
      <c r="P34" s="1150">
        <f t="shared" si="18"/>
        <v>0</v>
      </c>
      <c r="Q34" s="1150">
        <f t="shared" ref="Q34:Q35" si="23">SUM(O34:P34)</f>
        <v>0</v>
      </c>
      <c r="R34" s="1150">
        <f t="shared" si="2"/>
        <v>0</v>
      </c>
      <c r="S34" s="1150">
        <f>S$23*S30</f>
        <v>0</v>
      </c>
      <c r="T34" s="1150">
        <f t="shared" ref="T34:W34" si="24">T$23*T30</f>
        <v>0</v>
      </c>
      <c r="U34" s="1150">
        <f t="shared" si="24"/>
        <v>0</v>
      </c>
      <c r="V34" s="1150">
        <f t="shared" si="24"/>
        <v>0</v>
      </c>
      <c r="W34" s="1150">
        <f t="shared" si="24"/>
        <v>0</v>
      </c>
      <c r="X34" s="375"/>
    </row>
    <row r="35" spans="2:24" s="1165" customFormat="1" ht="46.5" x14ac:dyDescent="0.25">
      <c r="B35" s="371"/>
      <c r="C35" s="1216" t="s">
        <v>1089</v>
      </c>
      <c r="D35" s="355" t="s">
        <v>102</v>
      </c>
      <c r="E35" s="1150">
        <f t="shared" si="20"/>
        <v>0</v>
      </c>
      <c r="F35" s="1150">
        <f t="shared" si="20"/>
        <v>0</v>
      </c>
      <c r="G35" s="1150">
        <f>G$23*G31</f>
        <v>0</v>
      </c>
      <c r="H35" s="1150">
        <f t="shared" si="0"/>
        <v>0</v>
      </c>
      <c r="I35" s="1151">
        <f t="shared" si="21"/>
        <v>0</v>
      </c>
      <c r="J35" s="1150">
        <f t="shared" si="16"/>
        <v>0</v>
      </c>
      <c r="K35" s="1150">
        <f>K$23*K31</f>
        <v>0</v>
      </c>
      <c r="L35" s="1150">
        <f t="shared" si="17"/>
        <v>0</v>
      </c>
      <c r="M35" s="1151">
        <f t="shared" si="22"/>
        <v>0</v>
      </c>
      <c r="N35" s="1150">
        <f>N$23*N27</f>
        <v>0</v>
      </c>
      <c r="O35" s="1150">
        <f t="shared" si="18"/>
        <v>0</v>
      </c>
      <c r="P35" s="1150">
        <f t="shared" si="18"/>
        <v>0</v>
      </c>
      <c r="Q35" s="1150">
        <f t="shared" si="23"/>
        <v>0</v>
      </c>
      <c r="R35" s="1150">
        <f t="shared" si="2"/>
        <v>0</v>
      </c>
      <c r="S35" s="1150">
        <f>S$23*S31</f>
        <v>0</v>
      </c>
      <c r="T35" s="1150">
        <f t="shared" ref="T35:W35" si="25">T$23*T31</f>
        <v>0</v>
      </c>
      <c r="U35" s="1150">
        <f t="shared" si="25"/>
        <v>0</v>
      </c>
      <c r="V35" s="1150">
        <f t="shared" si="25"/>
        <v>0</v>
      </c>
      <c r="W35" s="1150">
        <f t="shared" si="25"/>
        <v>0</v>
      </c>
      <c r="X35" s="375"/>
    </row>
    <row r="36" spans="2:24" s="1165" customFormat="1" ht="46.5" x14ac:dyDescent="0.35">
      <c r="B36" s="372">
        <v>1.1299999999999999</v>
      </c>
      <c r="C36" s="1216" t="s">
        <v>1093</v>
      </c>
      <c r="D36" s="355" t="s">
        <v>102</v>
      </c>
      <c r="E36" s="1150">
        <f>SUM(E33:E35)</f>
        <v>125.56846230570818</v>
      </c>
      <c r="F36" s="1150">
        <f t="shared" ref="F36:H36" si="26">SUM(F33:F35)</f>
        <v>78.421649599999995</v>
      </c>
      <c r="G36" s="1150">
        <f t="shared" si="26"/>
        <v>104.203</v>
      </c>
      <c r="H36" s="1150">
        <f t="shared" si="26"/>
        <v>25.781350400000008</v>
      </c>
      <c r="I36" s="1151">
        <f>SUM(I33:I35)</f>
        <v>161.23835178478828</v>
      </c>
      <c r="J36" s="1150">
        <f t="shared" ref="J36" si="27">SUM(J33:J35)</f>
        <v>111.35798400000003</v>
      </c>
      <c r="K36" s="1150">
        <f t="shared" ref="K36" si="28">SUM(K33:K35)</f>
        <v>136.4203</v>
      </c>
      <c r="L36" s="1150">
        <f t="shared" ref="L36" si="29">SUM(L33:L35)</f>
        <v>25.062315999999967</v>
      </c>
      <c r="M36" s="1151">
        <f>SUM(M33:M35)</f>
        <v>0</v>
      </c>
      <c r="N36" s="1150">
        <f t="shared" ref="N36:P36" si="30">SUM(N33:N35)</f>
        <v>136.13252187586622</v>
      </c>
      <c r="O36" s="1150">
        <f t="shared" si="30"/>
        <v>69.288546675400084</v>
      </c>
      <c r="P36" s="1150">
        <f t="shared" si="30"/>
        <v>80.817840275866217</v>
      </c>
      <c r="Q36" s="1150">
        <f>Q23-Q37</f>
        <v>150.10638695126613</v>
      </c>
      <c r="R36" s="1150">
        <f t="shared" ref="R36" si="31">SUM(R33:R35)</f>
        <v>13.973865075400084</v>
      </c>
      <c r="S36" s="1150">
        <f t="shared" ref="S36" si="32">SUM(S33:S35)</f>
        <v>161.35378546988932</v>
      </c>
      <c r="T36" s="1150">
        <f t="shared" ref="T36" si="33">SUM(T33:T35)</f>
        <v>161.34778025330829</v>
      </c>
      <c r="U36" s="1150">
        <f t="shared" ref="U36" si="34">SUM(U33:U35)</f>
        <v>161.34778025330829</v>
      </c>
      <c r="V36" s="1150">
        <f t="shared" ref="V36" si="35">SUM(V33:V35)</f>
        <v>161.34778025330829</v>
      </c>
      <c r="W36" s="1150">
        <f t="shared" ref="W36" si="36">SUM(W33:W35)</f>
        <v>161.34778025330829</v>
      </c>
      <c r="X36" s="375"/>
    </row>
    <row r="37" spans="2:24" s="1165" customFormat="1" ht="31" x14ac:dyDescent="0.35">
      <c r="B37" s="368">
        <v>1.1499999999999999</v>
      </c>
      <c r="C37" s="1216" t="s">
        <v>1095</v>
      </c>
      <c r="D37" s="355" t="s">
        <v>102</v>
      </c>
      <c r="E37" s="1150">
        <f>E23-E36</f>
        <v>1020.1291864690015</v>
      </c>
      <c r="F37" s="1150">
        <f t="shared" ref="F37:S37" si="37">F23-F36</f>
        <v>637.10435039999993</v>
      </c>
      <c r="G37" s="1150">
        <f>G23-G36</f>
        <v>611.32299999999998</v>
      </c>
      <c r="H37" s="1150">
        <f t="shared" si="37"/>
        <v>-25.781350400000008</v>
      </c>
      <c r="I37" s="1151">
        <f>I23-I36</f>
        <v>1309.9144929669296</v>
      </c>
      <c r="J37" s="1150">
        <f t="shared" si="37"/>
        <v>904.6820160000002</v>
      </c>
      <c r="K37" s="1150">
        <f t="shared" si="37"/>
        <v>879.61970000000019</v>
      </c>
      <c r="L37" s="1150">
        <f t="shared" si="37"/>
        <v>-25.062315999999967</v>
      </c>
      <c r="M37" s="1151">
        <f t="shared" si="37"/>
        <v>0</v>
      </c>
      <c r="N37" s="1150">
        <f t="shared" si="37"/>
        <v>1105.9525317360519</v>
      </c>
      <c r="O37" s="1150">
        <f t="shared" si="37"/>
        <v>435.40745332459994</v>
      </c>
      <c r="P37" s="1150">
        <f t="shared" si="37"/>
        <v>656.57121333605187</v>
      </c>
      <c r="Q37" s="1150">
        <f>SUM(O37:P37)</f>
        <v>1091.9786666606519</v>
      </c>
      <c r="R37" s="1150">
        <f t="shared" si="37"/>
        <v>-13.973865075400084</v>
      </c>
      <c r="S37" s="1150">
        <f t="shared" si="37"/>
        <v>1310.85228633567</v>
      </c>
      <c r="T37" s="1150">
        <f t="shared" ref="T37" si="38">T23-T36</f>
        <v>1310.8034994301615</v>
      </c>
      <c r="U37" s="1150">
        <f t="shared" ref="U37" si="39">U23-U36</f>
        <v>1310.8034994301615</v>
      </c>
      <c r="V37" s="1150">
        <f>V23-V36</f>
        <v>1310.8034994301615</v>
      </c>
      <c r="W37" s="1150">
        <f t="shared" ref="W37" si="40">W23-W36</f>
        <v>1310.8034994301615</v>
      </c>
      <c r="X37" s="375"/>
    </row>
    <row r="38" spans="2:24" s="1165" customFormat="1" x14ac:dyDescent="0.35">
      <c r="B38" s="368">
        <v>1.1599999999999999</v>
      </c>
      <c r="C38" s="1216" t="s">
        <v>693</v>
      </c>
      <c r="D38" s="355" t="s">
        <v>102</v>
      </c>
      <c r="E38" s="610"/>
      <c r="F38" s="502"/>
      <c r="G38" s="502"/>
      <c r="H38" s="1150"/>
      <c r="I38" s="610"/>
      <c r="J38" s="502">
        <f>K38</f>
        <v>0</v>
      </c>
      <c r="K38" s="1150"/>
      <c r="L38" s="1150">
        <f t="shared" si="1"/>
        <v>0</v>
      </c>
      <c r="M38" s="610"/>
      <c r="N38" s="1150">
        <f>Q38</f>
        <v>0</v>
      </c>
      <c r="O38" s="502"/>
      <c r="P38" s="502"/>
      <c r="Q38" s="1150">
        <f>O38+P38</f>
        <v>0</v>
      </c>
      <c r="R38" s="1150">
        <f t="shared" si="2"/>
        <v>0</v>
      </c>
      <c r="S38" s="1150"/>
      <c r="T38" s="1150"/>
      <c r="U38" s="1150"/>
      <c r="V38" s="1150"/>
      <c r="W38" s="1150"/>
      <c r="X38" s="375"/>
    </row>
    <row r="39" spans="2:24" s="1165" customFormat="1" ht="31" x14ac:dyDescent="0.35">
      <c r="B39" s="368">
        <v>1.17</v>
      </c>
      <c r="C39" s="1216" t="s">
        <v>104</v>
      </c>
      <c r="D39" s="355" t="s">
        <v>105</v>
      </c>
      <c r="E39" s="1233">
        <f>'F2.1'!$E$52</f>
        <v>2787</v>
      </c>
      <c r="F39" s="1234">
        <f>E39</f>
        <v>2787</v>
      </c>
      <c r="G39" s="1177"/>
      <c r="H39" s="1177"/>
      <c r="I39" s="1233">
        <f>'F2.1'!$E$52</f>
        <v>2787</v>
      </c>
      <c r="J39" s="1189">
        <f>I39</f>
        <v>2787</v>
      </c>
      <c r="K39" s="1177"/>
      <c r="L39" s="1177"/>
      <c r="M39" s="1233">
        <f>'F2.1'!$E$52</f>
        <v>2787</v>
      </c>
      <c r="N39" s="1189">
        <f>M39</f>
        <v>2787</v>
      </c>
      <c r="O39" s="1177"/>
      <c r="P39" s="1177"/>
      <c r="Q39" s="1177"/>
      <c r="R39" s="1177"/>
      <c r="S39" s="1150">
        <v>0</v>
      </c>
      <c r="T39" s="1150">
        <v>0</v>
      </c>
      <c r="U39" s="1150">
        <v>0</v>
      </c>
      <c r="V39" s="1150">
        <v>0</v>
      </c>
      <c r="W39" s="1150">
        <v>0</v>
      </c>
      <c r="X39" s="375"/>
    </row>
    <row r="40" spans="2:24" s="1171" customFormat="1" ht="31" x14ac:dyDescent="0.25">
      <c r="B40" s="377">
        <v>1.18</v>
      </c>
      <c r="C40" s="377" t="s">
        <v>695</v>
      </c>
      <c r="D40" s="377" t="s">
        <v>105</v>
      </c>
      <c r="E40" s="1235"/>
      <c r="F40" s="1177"/>
      <c r="G40" s="1189">
        <f>G113/G23</f>
        <v>3084.9481489549644</v>
      </c>
      <c r="H40" s="1189">
        <f>G40-F39</f>
        <v>297.94814895496438</v>
      </c>
      <c r="I40" s="1235"/>
      <c r="J40" s="1177"/>
      <c r="K40" s="1189">
        <f>K113/K23</f>
        <v>2898.6222675493241</v>
      </c>
      <c r="L40" s="1189">
        <f>K40-J39</f>
        <v>111.62226754932408</v>
      </c>
      <c r="M40" s="1235"/>
      <c r="N40" s="1177"/>
      <c r="O40" s="1189">
        <f>O113/O23</f>
        <v>2869.1524649361199</v>
      </c>
      <c r="P40" s="1189">
        <f>P113/P23</f>
        <v>2787</v>
      </c>
      <c r="Q40" s="1189">
        <f>Q113/Q23</f>
        <v>2820.3809833093396</v>
      </c>
      <c r="R40" s="1150">
        <f>Q40-N39</f>
        <v>33.380983309339626</v>
      </c>
      <c r="S40" s="1189">
        <v>2787</v>
      </c>
      <c r="T40" s="1189">
        <v>2787</v>
      </c>
      <c r="U40" s="1189">
        <v>2787</v>
      </c>
      <c r="V40" s="1189">
        <v>2787</v>
      </c>
      <c r="W40" s="1189">
        <v>2787</v>
      </c>
      <c r="X40" s="379"/>
    </row>
    <row r="41" spans="2:24" s="1171" customFormat="1" ht="31" x14ac:dyDescent="0.35">
      <c r="B41" s="455">
        <v>1.19</v>
      </c>
      <c r="C41" s="377" t="s">
        <v>106</v>
      </c>
      <c r="D41" s="377" t="s">
        <v>107</v>
      </c>
      <c r="E41" s="1190">
        <v>1.4</v>
      </c>
      <c r="F41" s="1150">
        <f>E41</f>
        <v>1.4</v>
      </c>
      <c r="G41" s="1177"/>
      <c r="H41" s="1177"/>
      <c r="I41" s="610">
        <f>'F2.1'!I56</f>
        <v>1.4</v>
      </c>
      <c r="J41" s="1150">
        <f>I41</f>
        <v>1.4</v>
      </c>
      <c r="K41" s="1177"/>
      <c r="L41" s="1177"/>
      <c r="M41" s="610">
        <f>'F2.1'!M56</f>
        <v>1.4</v>
      </c>
      <c r="N41" s="1150">
        <f>M41</f>
        <v>1.4</v>
      </c>
      <c r="O41" s="1177"/>
      <c r="P41" s="1177"/>
      <c r="Q41" s="1177"/>
      <c r="R41" s="1150">
        <f t="shared" si="2"/>
        <v>-1.4</v>
      </c>
      <c r="S41" s="1150">
        <v>0</v>
      </c>
      <c r="T41" s="1150">
        <v>0</v>
      </c>
      <c r="U41" s="1150">
        <v>0</v>
      </c>
      <c r="V41" s="1150">
        <v>0</v>
      </c>
      <c r="W41" s="1150">
        <v>0</v>
      </c>
      <c r="X41" s="379"/>
    </row>
    <row r="42" spans="2:24" s="1171" customFormat="1" ht="46.5" x14ac:dyDescent="0.25">
      <c r="B42" s="511">
        <v>1.2</v>
      </c>
      <c r="C42" s="377" t="s">
        <v>696</v>
      </c>
      <c r="D42" s="377" t="s">
        <v>107</v>
      </c>
      <c r="E42" s="1177"/>
      <c r="F42" s="1177"/>
      <c r="G42" s="1150">
        <f>'F2.1'!G57</f>
        <v>5.7569999999999997</v>
      </c>
      <c r="H42" s="1150">
        <f>G42-F41</f>
        <v>4.3569999999999993</v>
      </c>
      <c r="I42" s="610"/>
      <c r="J42" s="1177"/>
      <c r="K42" s="1150">
        <v>3.6076355261603865</v>
      </c>
      <c r="L42" s="1150">
        <f>K42-J41</f>
        <v>2.2076355261603866</v>
      </c>
      <c r="M42" s="610"/>
      <c r="N42" s="1177"/>
      <c r="O42" s="1150">
        <v>5.6386597080222547</v>
      </c>
      <c r="P42" s="1150">
        <v>1.4</v>
      </c>
      <c r="Q42" s="1150">
        <f>AVERAGE(O42:P42)</f>
        <v>3.5193298540111275</v>
      </c>
      <c r="R42" s="1191">
        <f>Q42-N41</f>
        <v>2.1193298540111276</v>
      </c>
      <c r="S42" s="1150">
        <v>1.4</v>
      </c>
      <c r="T42" s="1150">
        <v>1.4</v>
      </c>
      <c r="U42" s="1150">
        <v>1.4</v>
      </c>
      <c r="V42" s="1150">
        <v>1.4</v>
      </c>
      <c r="W42" s="1150">
        <v>1.4</v>
      </c>
      <c r="X42" s="379"/>
    </row>
    <row r="43" spans="2:24" s="1171" customFormat="1" x14ac:dyDescent="0.35">
      <c r="B43" s="455">
        <v>1.21</v>
      </c>
      <c r="C43" s="377" t="s">
        <v>108</v>
      </c>
      <c r="D43" s="377" t="s">
        <v>100</v>
      </c>
      <c r="E43" s="770">
        <v>8.0000000000000002E-3</v>
      </c>
      <c r="F43" s="509">
        <f>E43</f>
        <v>8.0000000000000002E-3</v>
      </c>
      <c r="G43" s="1187"/>
      <c r="H43" s="1187"/>
      <c r="I43" s="770">
        <f>'F2.1'!I60</f>
        <v>8.0000000000000002E-3</v>
      </c>
      <c r="J43" s="509">
        <f>I43</f>
        <v>8.0000000000000002E-3</v>
      </c>
      <c r="K43" s="1187"/>
      <c r="L43" s="1187"/>
      <c r="M43" s="770">
        <f>'F2.1'!N60</f>
        <v>8.0000000000000002E-3</v>
      </c>
      <c r="N43" s="509">
        <f>M43</f>
        <v>8.0000000000000002E-3</v>
      </c>
      <c r="O43" s="1187"/>
      <c r="P43" s="1187"/>
      <c r="Q43" s="1187"/>
      <c r="R43" s="1187"/>
      <c r="S43" s="1187"/>
      <c r="T43" s="1187"/>
      <c r="U43" s="1187"/>
      <c r="V43" s="1187"/>
      <c r="W43" s="1187"/>
      <c r="X43" s="379"/>
    </row>
    <row r="44" spans="2:24" s="1171" customFormat="1" ht="31" x14ac:dyDescent="0.35">
      <c r="B44" s="455">
        <v>1.22</v>
      </c>
      <c r="C44" s="377" t="s">
        <v>697</v>
      </c>
      <c r="D44" s="377" t="s">
        <v>100</v>
      </c>
      <c r="E44" s="1187"/>
      <c r="F44" s="1187"/>
      <c r="G44" s="509">
        <f>'F2.1'!G61</f>
        <v>8.6899999999999998E-3</v>
      </c>
      <c r="H44" s="509">
        <f>G44-F43</f>
        <v>6.8999999999999964E-4</v>
      </c>
      <c r="I44" s="1187"/>
      <c r="J44" s="1187"/>
      <c r="K44" s="509">
        <v>1.09E-2</v>
      </c>
      <c r="L44" s="509">
        <f>K44-J43</f>
        <v>2.8999999999999998E-3</v>
      </c>
      <c r="M44" s="770"/>
      <c r="N44" s="1187"/>
      <c r="O44" s="509">
        <v>1.1570984658443995E-2</v>
      </c>
      <c r="P44" s="509">
        <v>8.0000000000000002E-3</v>
      </c>
      <c r="Q44" s="509">
        <f>AVERAGE(O44:P44)</f>
        <v>9.7854923292219967E-3</v>
      </c>
      <c r="R44" s="509">
        <f>Q44-N43</f>
        <v>1.7854923292219965E-3</v>
      </c>
      <c r="S44" s="509">
        <v>8.0000000000000002E-3</v>
      </c>
      <c r="T44" s="509">
        <v>8.0000000000000002E-3</v>
      </c>
      <c r="U44" s="509">
        <v>8.0000000000000002E-3</v>
      </c>
      <c r="V44" s="509">
        <v>8.0000000000000002E-3</v>
      </c>
      <c r="W44" s="509">
        <v>8.0000000000000002E-3</v>
      </c>
      <c r="X44" s="379"/>
    </row>
    <row r="45" spans="2:24" s="1171" customFormat="1" x14ac:dyDescent="0.3">
      <c r="B45" s="444"/>
      <c r="C45" s="378"/>
      <c r="D45" s="445"/>
      <c r="E45" s="1194"/>
      <c r="F45" s="1193"/>
      <c r="G45" s="1193"/>
      <c r="H45" s="1193"/>
      <c r="I45" s="1194"/>
      <c r="J45" s="1193"/>
      <c r="K45" s="1193"/>
      <c r="L45" s="1193"/>
      <c r="M45" s="1194"/>
      <c r="N45" s="1150"/>
      <c r="O45" s="1150"/>
      <c r="P45" s="1150"/>
      <c r="Q45" s="1150"/>
      <c r="R45" s="1150"/>
      <c r="S45" s="1150"/>
      <c r="T45" s="1150"/>
      <c r="U45" s="1150"/>
      <c r="V45" s="1150"/>
      <c r="W45" s="1150"/>
      <c r="X45" s="379"/>
    </row>
    <row r="46" spans="2:24" s="1171" customFormat="1" x14ac:dyDescent="0.3">
      <c r="B46" s="444">
        <v>2</v>
      </c>
      <c r="C46" s="1217" t="s">
        <v>109</v>
      </c>
      <c r="D46" s="445"/>
      <c r="E46" s="1194"/>
      <c r="F46" s="1193"/>
      <c r="G46" s="1193"/>
      <c r="H46" s="1193"/>
      <c r="I46" s="1194"/>
      <c r="J46" s="1193"/>
      <c r="K46" s="1193"/>
      <c r="L46" s="1193"/>
      <c r="M46" s="1194"/>
      <c r="N46" s="1150"/>
      <c r="O46" s="1150"/>
      <c r="P46" s="1150"/>
      <c r="Q46" s="1150"/>
      <c r="R46" s="1150"/>
      <c r="S46" s="1150"/>
      <c r="T46" s="1150"/>
      <c r="U46" s="1150"/>
      <c r="V46" s="1150"/>
      <c r="W46" s="1150"/>
      <c r="X46" s="379"/>
    </row>
    <row r="47" spans="2:24" s="1171" customFormat="1" x14ac:dyDescent="0.3">
      <c r="B47" s="444">
        <v>2.1</v>
      </c>
      <c r="C47" s="378" t="s">
        <v>577</v>
      </c>
      <c r="D47" s="445"/>
      <c r="E47" s="1194"/>
      <c r="F47" s="1193"/>
      <c r="G47" s="1193"/>
      <c r="H47" s="1193"/>
      <c r="I47" s="1194"/>
      <c r="J47" s="1193"/>
      <c r="K47" s="1193"/>
      <c r="L47" s="1193"/>
      <c r="M47" s="1194"/>
      <c r="N47" s="1150"/>
      <c r="O47" s="1150"/>
      <c r="P47" s="1150"/>
      <c r="Q47" s="1150"/>
      <c r="R47" s="1150"/>
      <c r="S47" s="1150"/>
      <c r="T47" s="1150"/>
      <c r="U47" s="1150"/>
      <c r="V47" s="1150"/>
      <c r="W47" s="1150"/>
      <c r="X47" s="379"/>
    </row>
    <row r="48" spans="2:24" s="1171" customFormat="1" x14ac:dyDescent="0.35">
      <c r="B48" s="455" t="s">
        <v>110</v>
      </c>
      <c r="C48" s="377" t="s">
        <v>748</v>
      </c>
      <c r="D48" s="377" t="s">
        <v>111</v>
      </c>
      <c r="E48" s="609">
        <v>4059.1706593877702</v>
      </c>
      <c r="F48" s="1193">
        <f>G48</f>
        <v>4108.6157453583101</v>
      </c>
      <c r="G48" s="1193">
        <v>4108.6157453583101</v>
      </c>
      <c r="H48" s="1193">
        <f>G48-F48</f>
        <v>0</v>
      </c>
      <c r="I48" s="609"/>
      <c r="J48" s="1193">
        <f>K48</f>
        <v>3904.4959175009681</v>
      </c>
      <c r="K48" s="1193">
        <v>3904.4959175009681</v>
      </c>
      <c r="L48" s="1150">
        <f>K48-J48</f>
        <v>0</v>
      </c>
      <c r="M48" s="609"/>
      <c r="N48" s="1193">
        <f>Q48</f>
        <v>3910.1312984177835</v>
      </c>
      <c r="O48" s="1193">
        <v>3917.6934653991602</v>
      </c>
      <c r="P48" s="1193">
        <v>3904.4959175009681</v>
      </c>
      <c r="Q48" s="1150">
        <f>SUMPRODUCT(O48:P48,O94:P94)/SUM(O94:P94)</f>
        <v>3910.1312984177835</v>
      </c>
      <c r="R48" s="1150">
        <f>Q48-N48</f>
        <v>0</v>
      </c>
      <c r="S48" s="1193">
        <v>3889.1128852707179</v>
      </c>
      <c r="T48" s="1193">
        <v>3889.1128852707179</v>
      </c>
      <c r="U48" s="1193">
        <v>3889.1128852707179</v>
      </c>
      <c r="V48" s="1193">
        <v>3889.1128852707179</v>
      </c>
      <c r="W48" s="1193">
        <v>3889.1128852707179</v>
      </c>
      <c r="X48" s="379"/>
    </row>
    <row r="49" spans="2:24" s="1171" customFormat="1" x14ac:dyDescent="0.35">
      <c r="B49" s="455" t="s">
        <v>112</v>
      </c>
      <c r="C49" s="377" t="s">
        <v>749</v>
      </c>
      <c r="D49" s="377" t="s">
        <v>111</v>
      </c>
      <c r="E49" s="609">
        <v>4836.5765771430242</v>
      </c>
      <c r="F49" s="1193">
        <f t="shared" ref="F49:F56" si="41">G49</f>
        <v>4788.0941454081631</v>
      </c>
      <c r="G49" s="1193">
        <v>4788.0941454081631</v>
      </c>
      <c r="H49" s="1193">
        <f t="shared" ref="H49:H56" si="42">G49-F49</f>
        <v>0</v>
      </c>
      <c r="I49" s="609"/>
      <c r="J49" s="1193">
        <f t="shared" ref="J49:J56" si="43">K49</f>
        <v>0</v>
      </c>
      <c r="K49" s="1193">
        <v>0</v>
      </c>
      <c r="L49" s="1150">
        <f t="shared" ref="L49:L56" si="44">K49-J49</f>
        <v>0</v>
      </c>
      <c r="M49" s="609"/>
      <c r="N49" s="1193">
        <f t="shared" ref="N49:N56" si="45">Q49</f>
        <v>0</v>
      </c>
      <c r="O49" s="1193">
        <v>0</v>
      </c>
      <c r="P49" s="1193">
        <v>0</v>
      </c>
      <c r="Q49" s="1150">
        <f>IFERROR(SUMPRODUCT(O49:P49,O95:P95)/SUM(O95:P95),0)</f>
        <v>0</v>
      </c>
      <c r="R49" s="1150">
        <f>Q49-N49</f>
        <v>0</v>
      </c>
      <c r="S49" s="1193">
        <v>0</v>
      </c>
      <c r="T49" s="1193">
        <v>0</v>
      </c>
      <c r="U49" s="1193">
        <v>0</v>
      </c>
      <c r="V49" s="1193">
        <v>0</v>
      </c>
      <c r="W49" s="1193">
        <v>0</v>
      </c>
      <c r="X49" s="379"/>
    </row>
    <row r="50" spans="2:24" s="1171" customFormat="1" x14ac:dyDescent="0.35">
      <c r="B50" s="455" t="s">
        <v>114</v>
      </c>
      <c r="C50" s="377" t="s">
        <v>856</v>
      </c>
      <c r="D50" s="377" t="s">
        <v>111</v>
      </c>
      <c r="E50" s="609">
        <v>3551.274065974626</v>
      </c>
      <c r="F50" s="1193">
        <f t="shared" si="41"/>
        <v>3666.0909964106972</v>
      </c>
      <c r="G50" s="1193">
        <v>3666.0909964106972</v>
      </c>
      <c r="H50" s="1193">
        <f t="shared" si="42"/>
        <v>0</v>
      </c>
      <c r="I50" s="609"/>
      <c r="J50" s="1193">
        <f t="shared" si="43"/>
        <v>3745.4165836493262</v>
      </c>
      <c r="K50" s="1193">
        <v>3745.4165836493262</v>
      </c>
      <c r="L50" s="1150">
        <f t="shared" si="44"/>
        <v>0</v>
      </c>
      <c r="M50" s="609"/>
      <c r="N50" s="1193">
        <f t="shared" si="45"/>
        <v>3745.4165836493262</v>
      </c>
      <c r="O50" s="1193">
        <v>0</v>
      </c>
      <c r="P50" s="1193">
        <v>3745.4165836493262</v>
      </c>
      <c r="Q50" s="1150">
        <f>SUMPRODUCT(O50:P50,O96:P96)/SUM(O96:P96)</f>
        <v>3745.4165836493262</v>
      </c>
      <c r="R50" s="1150">
        <f t="shared" ref="R50:R56" si="46">Q50-N50</f>
        <v>0</v>
      </c>
      <c r="S50" s="1193">
        <v>0</v>
      </c>
      <c r="T50" s="1193">
        <v>0</v>
      </c>
      <c r="U50" s="1193">
        <v>0</v>
      </c>
      <c r="V50" s="1193">
        <v>0</v>
      </c>
      <c r="W50" s="1193">
        <v>0</v>
      </c>
      <c r="X50" s="379"/>
    </row>
    <row r="51" spans="2:24" s="1171" customFormat="1" x14ac:dyDescent="0.35">
      <c r="B51" s="455" t="s">
        <v>747</v>
      </c>
      <c r="C51" s="377" t="s">
        <v>1632</v>
      </c>
      <c r="D51" s="377" t="s">
        <v>111</v>
      </c>
      <c r="E51" s="609"/>
      <c r="F51" s="1193"/>
      <c r="G51" s="1193"/>
      <c r="H51" s="1193"/>
      <c r="I51" s="609"/>
      <c r="J51" s="1193"/>
      <c r="K51" s="1193"/>
      <c r="L51" s="1150"/>
      <c r="M51" s="609"/>
      <c r="N51" s="1193">
        <f t="shared" si="45"/>
        <v>0</v>
      </c>
      <c r="O51" s="1193"/>
      <c r="P51" s="1193"/>
      <c r="Q51" s="1150"/>
      <c r="R51" s="1150"/>
      <c r="S51" s="1193">
        <v>3350</v>
      </c>
      <c r="T51" s="1193">
        <v>3350</v>
      </c>
      <c r="U51" s="1193">
        <v>3350</v>
      </c>
      <c r="V51" s="1193">
        <v>3350</v>
      </c>
      <c r="W51" s="1193">
        <v>3350</v>
      </c>
      <c r="X51" s="379"/>
    </row>
    <row r="52" spans="2:24" s="1171" customFormat="1" x14ac:dyDescent="0.35">
      <c r="B52" s="455" t="s">
        <v>859</v>
      </c>
      <c r="C52" s="377" t="s">
        <v>1644</v>
      </c>
      <c r="D52" s="377" t="s">
        <v>111</v>
      </c>
      <c r="E52" s="609"/>
      <c r="F52" s="1193"/>
      <c r="G52" s="1193"/>
      <c r="H52" s="1193"/>
      <c r="I52" s="609"/>
      <c r="J52" s="1193"/>
      <c r="K52" s="1193"/>
      <c r="L52" s="1150"/>
      <c r="M52" s="609"/>
      <c r="N52" s="1193">
        <f t="shared" si="45"/>
        <v>0</v>
      </c>
      <c r="O52" s="1193"/>
      <c r="P52" s="1193"/>
      <c r="Q52" s="1150"/>
      <c r="R52" s="1150"/>
      <c r="S52" s="1193">
        <v>0</v>
      </c>
      <c r="T52" s="1193">
        <v>0</v>
      </c>
      <c r="U52" s="1193">
        <v>0</v>
      </c>
      <c r="V52" s="1193">
        <v>0</v>
      </c>
      <c r="W52" s="1193">
        <v>0</v>
      </c>
      <c r="X52" s="379"/>
    </row>
    <row r="53" spans="2:24" s="1171" customFormat="1" x14ac:dyDescent="0.35">
      <c r="B53" s="455" t="s">
        <v>860</v>
      </c>
      <c r="C53" s="377" t="s">
        <v>750</v>
      </c>
      <c r="D53" s="377" t="s">
        <v>111</v>
      </c>
      <c r="E53" s="1194">
        <v>43042.511526228787</v>
      </c>
      <c r="F53" s="1193">
        <f>G53</f>
        <v>10776</v>
      </c>
      <c r="G53" s="1193">
        <v>10776</v>
      </c>
      <c r="H53" s="1193">
        <f t="shared" si="42"/>
        <v>0</v>
      </c>
      <c r="I53" s="1194"/>
      <c r="J53" s="1193">
        <f t="shared" si="43"/>
        <v>10552.083333333334</v>
      </c>
      <c r="K53" s="1193">
        <v>10552.083333333334</v>
      </c>
      <c r="L53" s="1150">
        <f t="shared" si="44"/>
        <v>0</v>
      </c>
      <c r="M53" s="1194"/>
      <c r="N53" s="1193">
        <f t="shared" si="45"/>
        <v>10561.135240516733</v>
      </c>
      <c r="O53" s="1193">
        <v>10564</v>
      </c>
      <c r="P53" s="1193">
        <v>10552.083333333334</v>
      </c>
      <c r="Q53" s="1150">
        <f>SUMPRODUCT(O53:P53,O99:P99)/SUM(O99:P99)</f>
        <v>10561.135240516733</v>
      </c>
      <c r="R53" s="1150">
        <f t="shared" si="46"/>
        <v>0</v>
      </c>
      <c r="S53" s="1193">
        <v>10552.083333333334</v>
      </c>
      <c r="T53" s="1193">
        <v>10552.083333333334</v>
      </c>
      <c r="U53" s="1193">
        <v>10552.083333333334</v>
      </c>
      <c r="V53" s="1193">
        <v>10552.083333333334</v>
      </c>
      <c r="W53" s="1193">
        <v>10552.083333333334</v>
      </c>
      <c r="X53" s="379"/>
    </row>
    <row r="54" spans="2:24" s="1171" customFormat="1" x14ac:dyDescent="0.35">
      <c r="B54" s="455" t="s">
        <v>861</v>
      </c>
      <c r="C54" s="377" t="s">
        <v>751</v>
      </c>
      <c r="D54" s="377" t="s">
        <v>111</v>
      </c>
      <c r="E54" s="1194">
        <v>75781.767842008048</v>
      </c>
      <c r="F54" s="1193">
        <f>G54</f>
        <v>11542.666666666666</v>
      </c>
      <c r="G54" s="1193">
        <v>11542.666666666666</v>
      </c>
      <c r="H54" s="1193">
        <f t="shared" si="42"/>
        <v>0</v>
      </c>
      <c r="I54" s="1194"/>
      <c r="J54" s="1193">
        <f t="shared" si="43"/>
        <v>11111.5</v>
      </c>
      <c r="K54" s="1193">
        <v>11111.5</v>
      </c>
      <c r="L54" s="1150">
        <f t="shared" si="44"/>
        <v>0</v>
      </c>
      <c r="M54" s="1194"/>
      <c r="N54" s="1193">
        <f t="shared" si="45"/>
        <v>11205.272005197765</v>
      </c>
      <c r="O54" s="1193">
        <v>11267</v>
      </c>
      <c r="P54" s="1193">
        <v>11111.5</v>
      </c>
      <c r="Q54" s="1150">
        <f>SUMPRODUCT(O54:P54,O100:P100)/SUM(O100:P100)</f>
        <v>11205.272005197765</v>
      </c>
      <c r="R54" s="1150">
        <f t="shared" si="46"/>
        <v>0</v>
      </c>
      <c r="S54" s="1193">
        <v>11111.5</v>
      </c>
      <c r="T54" s="1193">
        <v>11111.5</v>
      </c>
      <c r="U54" s="1193">
        <v>11111.5</v>
      </c>
      <c r="V54" s="1193">
        <v>11111.5</v>
      </c>
      <c r="W54" s="1193">
        <v>11111.5</v>
      </c>
      <c r="X54" s="379"/>
    </row>
    <row r="55" spans="2:24" s="1171" customFormat="1" x14ac:dyDescent="0.35">
      <c r="B55" s="455" t="s">
        <v>1248</v>
      </c>
      <c r="C55" s="377" t="s">
        <v>857</v>
      </c>
      <c r="D55" s="377" t="s">
        <v>111</v>
      </c>
      <c r="E55" s="1194"/>
      <c r="F55" s="1193">
        <f t="shared" si="41"/>
        <v>0</v>
      </c>
      <c r="G55" s="1193">
        <v>0</v>
      </c>
      <c r="H55" s="1193">
        <f t="shared" si="42"/>
        <v>0</v>
      </c>
      <c r="I55" s="1194"/>
      <c r="J55" s="1193">
        <f t="shared" si="43"/>
        <v>0</v>
      </c>
      <c r="K55" s="1193">
        <v>0</v>
      </c>
      <c r="L55" s="1150">
        <f t="shared" si="44"/>
        <v>0</v>
      </c>
      <c r="M55" s="1194"/>
      <c r="N55" s="1193">
        <f t="shared" si="45"/>
        <v>0</v>
      </c>
      <c r="O55" s="1193">
        <v>0</v>
      </c>
      <c r="P55" s="1193">
        <v>0</v>
      </c>
      <c r="Q55" s="1150">
        <f t="shared" ref="Q55:Q56" si="47">O55+P55</f>
        <v>0</v>
      </c>
      <c r="R55" s="1150">
        <f t="shared" si="46"/>
        <v>0</v>
      </c>
      <c r="S55" s="1193">
        <v>0</v>
      </c>
      <c r="T55" s="1193">
        <v>0</v>
      </c>
      <c r="U55" s="1193">
        <v>0</v>
      </c>
      <c r="V55" s="1193">
        <v>0</v>
      </c>
      <c r="W55" s="1193">
        <v>0</v>
      </c>
      <c r="X55" s="379"/>
    </row>
    <row r="56" spans="2:24" s="1171" customFormat="1" x14ac:dyDescent="0.35">
      <c r="B56" s="455" t="s">
        <v>1633</v>
      </c>
      <c r="C56" s="377" t="s">
        <v>858</v>
      </c>
      <c r="D56" s="377" t="s">
        <v>111</v>
      </c>
      <c r="E56" s="1194"/>
      <c r="F56" s="1193">
        <f t="shared" si="41"/>
        <v>0</v>
      </c>
      <c r="G56" s="1193">
        <v>0</v>
      </c>
      <c r="H56" s="1193">
        <f t="shared" si="42"/>
        <v>0</v>
      </c>
      <c r="I56" s="1194"/>
      <c r="J56" s="1193">
        <f t="shared" si="43"/>
        <v>0</v>
      </c>
      <c r="K56" s="1193">
        <v>0</v>
      </c>
      <c r="L56" s="1150">
        <f t="shared" si="44"/>
        <v>0</v>
      </c>
      <c r="M56" s="1194"/>
      <c r="N56" s="1193">
        <f t="shared" si="45"/>
        <v>0</v>
      </c>
      <c r="O56" s="1193">
        <v>0</v>
      </c>
      <c r="P56" s="1193">
        <v>0</v>
      </c>
      <c r="Q56" s="1150">
        <f t="shared" si="47"/>
        <v>0</v>
      </c>
      <c r="R56" s="1150">
        <f t="shared" si="46"/>
        <v>0</v>
      </c>
      <c r="S56" s="1193">
        <v>0</v>
      </c>
      <c r="T56" s="1193">
        <v>0</v>
      </c>
      <c r="U56" s="1193">
        <v>0</v>
      </c>
      <c r="V56" s="1193">
        <v>0</v>
      </c>
      <c r="W56" s="1193">
        <v>0</v>
      </c>
      <c r="X56" s="379"/>
    </row>
    <row r="57" spans="2:24" s="1171" customFormat="1" ht="30" x14ac:dyDescent="0.3">
      <c r="B57" s="444">
        <v>2.2000000000000002</v>
      </c>
      <c r="C57" s="378" t="s">
        <v>333</v>
      </c>
      <c r="D57" s="445"/>
      <c r="E57" s="1194"/>
      <c r="F57" s="1193"/>
      <c r="G57" s="1193"/>
      <c r="H57" s="1193"/>
      <c r="I57" s="1194"/>
      <c r="J57" s="1193"/>
      <c r="K57" s="1193"/>
      <c r="L57" s="1193"/>
      <c r="M57" s="1194"/>
      <c r="N57" s="1193"/>
      <c r="O57" s="1193"/>
      <c r="P57" s="1193"/>
      <c r="Q57" s="1150"/>
      <c r="R57" s="1150"/>
      <c r="S57" s="1150"/>
      <c r="T57" s="1150"/>
      <c r="U57" s="1150"/>
      <c r="V57" s="1150"/>
      <c r="W57" s="1150"/>
      <c r="X57" s="379"/>
    </row>
    <row r="58" spans="2:24" s="1171" customFormat="1" x14ac:dyDescent="0.35">
      <c r="B58" s="455" t="s">
        <v>117</v>
      </c>
      <c r="C58" s="377" t="s">
        <v>748</v>
      </c>
      <c r="D58" s="377" t="s">
        <v>111</v>
      </c>
      <c r="E58" s="609">
        <v>3459.1706593877702</v>
      </c>
      <c r="F58" s="1192">
        <v>3508.6157453583101</v>
      </c>
      <c r="G58" s="1193">
        <v>3188.3352331038127</v>
      </c>
      <c r="H58" s="1193">
        <f>G58-F58</f>
        <v>-320.28051225449735</v>
      </c>
      <c r="I58" s="609"/>
      <c r="J58" s="1192">
        <f>IF(J48=0,0,MAX(K58,J48-650))</f>
        <v>3254.4959175009681</v>
      </c>
      <c r="K58" s="1193">
        <v>3143.9650101670286</v>
      </c>
      <c r="L58" s="1150">
        <f>K58-J58</f>
        <v>-110.53090733393947</v>
      </c>
      <c r="M58" s="609"/>
      <c r="N58" s="1192">
        <f>IF(N48=0,0,MAX(Q58,N48-650))</f>
        <v>3260.1312984177835</v>
      </c>
      <c r="O58" s="1193">
        <v>3252.813450847812</v>
      </c>
      <c r="P58" s="1193">
        <v>3254.4959175009681</v>
      </c>
      <c r="Q58" s="1150">
        <f>SUMPRODUCT(O58:P58,O94:P94)/SUM(O94:P94)</f>
        <v>3253.7775006750912</v>
      </c>
      <c r="R58" s="1150">
        <f>Q58-N58</f>
        <v>-6.3537977426922225</v>
      </c>
      <c r="S58" s="1192">
        <f>IF(S48=0,0,S48-750)</f>
        <v>3139.1128852707179</v>
      </c>
      <c r="T58" s="1192">
        <f>IF(T48=0,0,T48-750)</f>
        <v>3139.1128852707179</v>
      </c>
      <c r="U58" s="1192">
        <f>IF(U48=0,0,U48-750)</f>
        <v>3139.1128852707179</v>
      </c>
      <c r="V58" s="1192">
        <f>IF(V48=0,0,V48-750)</f>
        <v>3139.1128852707179</v>
      </c>
      <c r="W58" s="1192">
        <f>IF(W48=0,0,W48-750)</f>
        <v>3139.1128852707179</v>
      </c>
      <c r="X58" s="379"/>
    </row>
    <row r="59" spans="2:24" s="1171" customFormat="1" x14ac:dyDescent="0.35">
      <c r="B59" s="455" t="s">
        <v>119</v>
      </c>
      <c r="C59" s="377" t="s">
        <v>749</v>
      </c>
      <c r="D59" s="377" t="s">
        <v>111</v>
      </c>
      <c r="E59" s="609">
        <v>4836.5765771430242</v>
      </c>
      <c r="F59" s="1193">
        <f t="shared" ref="F59:F66" si="48">G59</f>
        <v>4788.0941454081631</v>
      </c>
      <c r="G59" s="1193">
        <v>4788.0941454081631</v>
      </c>
      <c r="H59" s="1193">
        <f>G59-F59</f>
        <v>0</v>
      </c>
      <c r="I59" s="609"/>
      <c r="J59" s="1193">
        <f t="shared" ref="J59:J66" si="49">K59</f>
        <v>0</v>
      </c>
      <c r="K59" s="1193">
        <v>0</v>
      </c>
      <c r="L59" s="1150">
        <f>K59-J59</f>
        <v>0</v>
      </c>
      <c r="M59" s="609"/>
      <c r="N59" s="1193">
        <f>Q59</f>
        <v>0</v>
      </c>
      <c r="O59" s="1193">
        <v>0</v>
      </c>
      <c r="P59" s="1193">
        <v>0</v>
      </c>
      <c r="Q59" s="1150">
        <f>IFERROR(SUMPRODUCT(O59:P59,O95:P95)/SUM(O95:P95),0)</f>
        <v>0</v>
      </c>
      <c r="R59" s="1150">
        <f>Q59-N59</f>
        <v>0</v>
      </c>
      <c r="S59" s="1192">
        <f>S49</f>
        <v>0</v>
      </c>
      <c r="T59" s="1192">
        <f t="shared" ref="T59:W59" si="50">IF(T49=0,0,T49-750)</f>
        <v>0</v>
      </c>
      <c r="U59" s="1192">
        <f t="shared" si="50"/>
        <v>0</v>
      </c>
      <c r="V59" s="1192">
        <f t="shared" si="50"/>
        <v>0</v>
      </c>
      <c r="W59" s="1192">
        <f t="shared" si="50"/>
        <v>0</v>
      </c>
      <c r="X59" s="379"/>
    </row>
    <row r="60" spans="2:24" s="1171" customFormat="1" x14ac:dyDescent="0.35">
      <c r="B60" s="455" t="s">
        <v>120</v>
      </c>
      <c r="C60" s="377" t="s">
        <v>856</v>
      </c>
      <c r="D60" s="377" t="s">
        <v>111</v>
      </c>
      <c r="E60" s="609">
        <v>4071.6582010203492</v>
      </c>
      <c r="F60" s="1192">
        <f>IF(F50=0,0,MAX(G60,F50-300))</f>
        <v>4089.0228502097971</v>
      </c>
      <c r="G60" s="1193">
        <v>4089.0228502097971</v>
      </c>
      <c r="H60" s="1193">
        <f t="shared" ref="H60:H68" si="51">G60-F60</f>
        <v>0</v>
      </c>
      <c r="I60" s="609"/>
      <c r="J60" s="1192">
        <f>IF(J50=0,0,MAX(K60,J50-300))</f>
        <v>4052.2361474713484</v>
      </c>
      <c r="K60" s="1193">
        <v>4052.2361474713484</v>
      </c>
      <c r="L60" s="1150">
        <f t="shared" ref="L60:L68" si="52">K60-J60</f>
        <v>0</v>
      </c>
      <c r="M60" s="609"/>
      <c r="N60" s="1192">
        <f>IF(N50=0,0,MAX(Q60,N50-300))</f>
        <v>3445.4165836493262</v>
      </c>
      <c r="O60" s="1193">
        <v>0</v>
      </c>
      <c r="P60" s="1193">
        <v>3445.4165836493262</v>
      </c>
      <c r="Q60" s="1150">
        <f>SUMPRODUCT(O60:P60,O96:P96)/SUM(O96:P96)</f>
        <v>3445.4165836493262</v>
      </c>
      <c r="R60" s="1150">
        <f t="shared" ref="R60:R68" si="53">Q60-N60</f>
        <v>0</v>
      </c>
      <c r="S60" s="1192">
        <f>IF(S50=0,0,S50-300)</f>
        <v>0</v>
      </c>
      <c r="T60" s="1192">
        <f>IF(T50=0,0,T50-300)</f>
        <v>0</v>
      </c>
      <c r="U60" s="1192">
        <f t="shared" ref="U60:W60" si="54">IF(U50=0,0,U50-300)</f>
        <v>0</v>
      </c>
      <c r="V60" s="1192">
        <f t="shared" si="54"/>
        <v>0</v>
      </c>
      <c r="W60" s="1192">
        <f t="shared" si="54"/>
        <v>0</v>
      </c>
      <c r="X60" s="379"/>
    </row>
    <row r="61" spans="2:24" s="1171" customFormat="1" x14ac:dyDescent="0.35">
      <c r="B61" s="455" t="s">
        <v>752</v>
      </c>
      <c r="C61" s="377" t="s">
        <v>1632</v>
      </c>
      <c r="D61" s="377" t="s">
        <v>111</v>
      </c>
      <c r="E61" s="609"/>
      <c r="F61" s="1192"/>
      <c r="G61" s="1193"/>
      <c r="H61" s="1193"/>
      <c r="I61" s="609"/>
      <c r="J61" s="1192"/>
      <c r="K61" s="1193"/>
      <c r="L61" s="1150"/>
      <c r="M61" s="609"/>
      <c r="N61" s="1192"/>
      <c r="O61" s="1193"/>
      <c r="P61" s="1193"/>
      <c r="Q61" s="1150"/>
      <c r="R61" s="1150"/>
      <c r="S61" s="1192">
        <f>S51</f>
        <v>3350</v>
      </c>
      <c r="T61" s="1192">
        <f t="shared" ref="T61:W61" si="55">T51</f>
        <v>3350</v>
      </c>
      <c r="U61" s="1192">
        <f t="shared" si="55"/>
        <v>3350</v>
      </c>
      <c r="V61" s="1192">
        <f t="shared" si="55"/>
        <v>3350</v>
      </c>
      <c r="W61" s="1192">
        <f t="shared" si="55"/>
        <v>3350</v>
      </c>
      <c r="X61" s="379"/>
    </row>
    <row r="62" spans="2:24" s="1171" customFormat="1" x14ac:dyDescent="0.35">
      <c r="B62" s="455" t="s">
        <v>862</v>
      </c>
      <c r="C62" s="377" t="s">
        <v>1644</v>
      </c>
      <c r="D62" s="377" t="s">
        <v>111</v>
      </c>
      <c r="E62" s="609"/>
      <c r="F62" s="1192"/>
      <c r="G62" s="1193"/>
      <c r="H62" s="1193"/>
      <c r="I62" s="609"/>
      <c r="J62" s="1192"/>
      <c r="K62" s="1193"/>
      <c r="L62" s="1150"/>
      <c r="M62" s="609"/>
      <c r="N62" s="1192"/>
      <c r="O62" s="1193"/>
      <c r="P62" s="1193"/>
      <c r="Q62" s="1150"/>
      <c r="R62" s="1150"/>
      <c r="S62" s="1192">
        <f t="shared" ref="S62:W62" si="56">IF(S52=0,0,S52-750)</f>
        <v>0</v>
      </c>
      <c r="T62" s="1192">
        <f t="shared" si="56"/>
        <v>0</v>
      </c>
      <c r="U62" s="1192">
        <f t="shared" si="56"/>
        <v>0</v>
      </c>
      <c r="V62" s="1192">
        <f t="shared" si="56"/>
        <v>0</v>
      </c>
      <c r="W62" s="1192">
        <f t="shared" si="56"/>
        <v>0</v>
      </c>
      <c r="X62" s="379"/>
    </row>
    <row r="63" spans="2:24" s="1171" customFormat="1" x14ac:dyDescent="0.35">
      <c r="B63" s="455" t="s">
        <v>863</v>
      </c>
      <c r="C63" s="377" t="s">
        <v>750</v>
      </c>
      <c r="D63" s="377" t="s">
        <v>111</v>
      </c>
      <c r="E63" s="1194">
        <f>E53</f>
        <v>43042.511526228787</v>
      </c>
      <c r="F63" s="1193">
        <f t="shared" si="48"/>
        <v>10776</v>
      </c>
      <c r="G63" s="1193">
        <v>10776</v>
      </c>
      <c r="H63" s="1193">
        <f t="shared" si="51"/>
        <v>0</v>
      </c>
      <c r="I63" s="1194"/>
      <c r="J63" s="1193">
        <f t="shared" si="49"/>
        <v>10552.083333333334</v>
      </c>
      <c r="K63" s="1193">
        <v>10552.083333333334</v>
      </c>
      <c r="L63" s="1150">
        <f t="shared" si="52"/>
        <v>0</v>
      </c>
      <c r="M63" s="1194"/>
      <c r="N63" s="1193">
        <f>Q63</f>
        <v>10561.135240516733</v>
      </c>
      <c r="O63" s="1193">
        <v>10564</v>
      </c>
      <c r="P63" s="1193">
        <v>10552.083333333334</v>
      </c>
      <c r="Q63" s="1150">
        <f>SUMPRODUCT(O63:P63,O99:P99)/SUM(O99:P99)</f>
        <v>10561.135240516733</v>
      </c>
      <c r="R63" s="1150">
        <f t="shared" si="53"/>
        <v>0</v>
      </c>
      <c r="S63" s="1192">
        <f>S53</f>
        <v>10552.083333333334</v>
      </c>
      <c r="T63" s="1192">
        <f t="shared" ref="T63:W63" si="57">T53</f>
        <v>10552.083333333334</v>
      </c>
      <c r="U63" s="1192">
        <f t="shared" si="57"/>
        <v>10552.083333333334</v>
      </c>
      <c r="V63" s="1192">
        <f t="shared" si="57"/>
        <v>10552.083333333334</v>
      </c>
      <c r="W63" s="1192">
        <f t="shared" si="57"/>
        <v>10552.083333333334</v>
      </c>
      <c r="X63" s="379"/>
    </row>
    <row r="64" spans="2:24" s="1171" customFormat="1" x14ac:dyDescent="0.35">
      <c r="B64" s="455" t="s">
        <v>864</v>
      </c>
      <c r="C64" s="377" t="s">
        <v>751</v>
      </c>
      <c r="D64" s="377" t="s">
        <v>111</v>
      </c>
      <c r="E64" s="1194">
        <f>E54</f>
        <v>75781.767842008048</v>
      </c>
      <c r="F64" s="1193">
        <f t="shared" si="48"/>
        <v>11542.666666666666</v>
      </c>
      <c r="G64" s="1193">
        <v>11542.666666666666</v>
      </c>
      <c r="H64" s="1193">
        <f t="shared" si="51"/>
        <v>0</v>
      </c>
      <c r="I64" s="1194"/>
      <c r="J64" s="1193">
        <f t="shared" si="49"/>
        <v>11111.5</v>
      </c>
      <c r="K64" s="1193">
        <v>11111.5</v>
      </c>
      <c r="L64" s="1150">
        <f t="shared" si="52"/>
        <v>0</v>
      </c>
      <c r="M64" s="1194"/>
      <c r="N64" s="1193">
        <f>Q64</f>
        <v>11205.272005197765</v>
      </c>
      <c r="O64" s="1193">
        <v>11267</v>
      </c>
      <c r="P64" s="1193">
        <v>11111.5</v>
      </c>
      <c r="Q64" s="1150">
        <f>SUMPRODUCT(O64:P64,O100:P100)/SUM(O100:P100)</f>
        <v>11205.272005197765</v>
      </c>
      <c r="R64" s="1150">
        <f t="shared" si="53"/>
        <v>0</v>
      </c>
      <c r="S64" s="1192">
        <f>S54</f>
        <v>11111.5</v>
      </c>
      <c r="T64" s="1192">
        <f t="shared" ref="T64:W64" si="58">T54</f>
        <v>11111.5</v>
      </c>
      <c r="U64" s="1192">
        <f t="shared" si="58"/>
        <v>11111.5</v>
      </c>
      <c r="V64" s="1192">
        <f t="shared" si="58"/>
        <v>11111.5</v>
      </c>
      <c r="W64" s="1192">
        <f t="shared" si="58"/>
        <v>11111.5</v>
      </c>
      <c r="X64" s="379"/>
    </row>
    <row r="65" spans="2:24" s="1171" customFormat="1" x14ac:dyDescent="0.35">
      <c r="B65" s="455" t="s">
        <v>1258</v>
      </c>
      <c r="C65" s="377" t="s">
        <v>857</v>
      </c>
      <c r="D65" s="377" t="s">
        <v>111</v>
      </c>
      <c r="E65" s="1194"/>
      <c r="F65" s="1193">
        <f t="shared" si="48"/>
        <v>0</v>
      </c>
      <c r="G65" s="1193">
        <v>0</v>
      </c>
      <c r="H65" s="1193">
        <f t="shared" si="51"/>
        <v>0</v>
      </c>
      <c r="I65" s="1194"/>
      <c r="J65" s="1193">
        <f t="shared" si="49"/>
        <v>0</v>
      </c>
      <c r="K65" s="1193">
        <v>0</v>
      </c>
      <c r="L65" s="1150">
        <f t="shared" si="52"/>
        <v>0</v>
      </c>
      <c r="M65" s="1194"/>
      <c r="N65" s="1193">
        <f>Q65</f>
        <v>0</v>
      </c>
      <c r="O65" s="1193">
        <v>0</v>
      </c>
      <c r="P65" s="1193">
        <v>0</v>
      </c>
      <c r="Q65" s="1150">
        <f>IFERROR(SUMPRODUCT(O65:P65,O101:P101)/SUM(O101:P101),0)</f>
        <v>0</v>
      </c>
      <c r="R65" s="1150">
        <f t="shared" si="53"/>
        <v>0</v>
      </c>
      <c r="S65" s="1192">
        <f>S55</f>
        <v>0</v>
      </c>
      <c r="T65" s="1192">
        <f t="shared" ref="T65:W66" si="59">IF(T55=0,0,T55-750)</f>
        <v>0</v>
      </c>
      <c r="U65" s="1192">
        <f t="shared" si="59"/>
        <v>0</v>
      </c>
      <c r="V65" s="1192">
        <f t="shared" si="59"/>
        <v>0</v>
      </c>
      <c r="W65" s="1192">
        <f t="shared" si="59"/>
        <v>0</v>
      </c>
      <c r="X65" s="379"/>
    </row>
    <row r="66" spans="2:24" s="1171" customFormat="1" x14ac:dyDescent="0.35">
      <c r="B66" s="455" t="s">
        <v>1260</v>
      </c>
      <c r="C66" s="377" t="s">
        <v>858</v>
      </c>
      <c r="D66" s="377" t="s">
        <v>111</v>
      </c>
      <c r="E66" s="1194"/>
      <c r="F66" s="1193">
        <f t="shared" si="48"/>
        <v>0</v>
      </c>
      <c r="G66" s="1193">
        <v>0</v>
      </c>
      <c r="H66" s="1193">
        <f t="shared" si="51"/>
        <v>0</v>
      </c>
      <c r="I66" s="1194"/>
      <c r="J66" s="1193">
        <f t="shared" si="49"/>
        <v>0</v>
      </c>
      <c r="K66" s="1193">
        <v>0</v>
      </c>
      <c r="L66" s="1150">
        <f t="shared" si="52"/>
        <v>0</v>
      </c>
      <c r="M66" s="1194"/>
      <c r="N66" s="1193">
        <f t="shared" ref="N66" si="60">Q66</f>
        <v>0</v>
      </c>
      <c r="O66" s="1193">
        <v>0</v>
      </c>
      <c r="P66" s="1193">
        <v>0</v>
      </c>
      <c r="Q66" s="1150">
        <f>IFERROR(SUMPRODUCT(O66:P66,O102:P102)/SUM(O102:P102),0)</f>
        <v>0</v>
      </c>
      <c r="R66" s="1150">
        <f t="shared" si="53"/>
        <v>0</v>
      </c>
      <c r="S66" s="1192">
        <f>S56</f>
        <v>0</v>
      </c>
      <c r="T66" s="1192">
        <f t="shared" si="59"/>
        <v>0</v>
      </c>
      <c r="U66" s="1192">
        <f t="shared" si="59"/>
        <v>0</v>
      </c>
      <c r="V66" s="1192">
        <f t="shared" si="59"/>
        <v>0</v>
      </c>
      <c r="W66" s="1192">
        <f t="shared" si="59"/>
        <v>0</v>
      </c>
      <c r="X66" s="379"/>
    </row>
    <row r="67" spans="2:24" s="1171" customFormat="1" x14ac:dyDescent="0.35">
      <c r="B67" s="455"/>
      <c r="C67" s="377"/>
      <c r="D67" s="377"/>
      <c r="E67" s="1194"/>
      <c r="F67" s="1193"/>
      <c r="G67" s="1193"/>
      <c r="H67" s="1193"/>
      <c r="I67" s="1194"/>
      <c r="J67" s="1193"/>
      <c r="K67" s="1193"/>
      <c r="L67" s="1150"/>
      <c r="M67" s="1194"/>
      <c r="N67" s="1193"/>
      <c r="O67" s="1193"/>
      <c r="P67" s="1193"/>
      <c r="Q67" s="1150"/>
      <c r="R67" s="1150"/>
      <c r="S67" s="1150"/>
      <c r="T67" s="1150"/>
      <c r="U67" s="1150"/>
      <c r="V67" s="1150"/>
      <c r="W67" s="1150"/>
      <c r="X67" s="379"/>
    </row>
    <row r="68" spans="2:24" s="1171" customFormat="1" ht="30" x14ac:dyDescent="0.3">
      <c r="B68" s="444">
        <v>2.2999999999999998</v>
      </c>
      <c r="C68" s="378" t="s">
        <v>1681</v>
      </c>
      <c r="D68" s="377" t="s">
        <v>111</v>
      </c>
      <c r="E68" s="1194">
        <v>3202</v>
      </c>
      <c r="F68" s="1195">
        <f>MAX(SUMPRODUCT(F58:F60,G94:G96)/SUM(G94:G96)-MIN(120,SUMPRODUCT(G58:G60,G94:G96)/SUM(G94:G96)-G68),G68)</f>
        <v>3552.4276017067605</v>
      </c>
      <c r="G68" s="1193">
        <v>2878.7418131002037</v>
      </c>
      <c r="H68" s="1193">
        <f t="shared" si="51"/>
        <v>-673.6857886065568</v>
      </c>
      <c r="I68" s="1194"/>
      <c r="J68" s="1195">
        <f>MAX(SUMPRODUCT(J58:J60,K94:K96)/SUM(K94:K96)-MIN(120,SUMPRODUCT(K58:K60,K94:K96)/SUM(K94:K96)-K68),K68)</f>
        <v>3191.746734765175</v>
      </c>
      <c r="K68" s="1193">
        <v>3042.3987565861585</v>
      </c>
      <c r="L68" s="1150">
        <f t="shared" si="52"/>
        <v>-149.34797817901654</v>
      </c>
      <c r="M68" s="1194"/>
      <c r="N68" s="1195">
        <f>MAX(SUMPRODUCT(N58:N60,Q94:Q96)/SUM(Q94:Q96)-MIN(120,SUMPRODUCT(Q58:Q60,Q94:Q96)/SUM(Q94:Q96)-Q68),Q68)</f>
        <v>3145.862219425801</v>
      </c>
      <c r="O68" s="1193">
        <v>3093.4595720858092</v>
      </c>
      <c r="P68" s="1195">
        <f>SUMPRODUCT(P58:P60,P94:P96)/SUM(P94:P96)-120</f>
        <v>3144.5695659832759</v>
      </c>
      <c r="Q68" s="1195">
        <f>SUMPRODUCT(Q58:Q60,Q94:Q96)/SUM(Q94:Q96)-120</f>
        <v>3139.7049462636696</v>
      </c>
      <c r="R68" s="1150">
        <f t="shared" si="53"/>
        <v>-6.1572731621313324</v>
      </c>
      <c r="S68" s="1236">
        <f>IF(SUM(S94:S98)&gt;0,SUMPRODUCT(S58:S62,S94:S98)/SUM(S94:S98)-85,0)</f>
        <v>3054.1128852707179</v>
      </c>
      <c r="T68" s="1236">
        <f t="shared" ref="T68:W68" si="61">IF(SUM(T94:T98)&gt;0,SUMPRODUCT(T58:T62,T94:T98)/SUM(T94:T98)-85,0)</f>
        <v>3054.1128852707179</v>
      </c>
      <c r="U68" s="1236">
        <f t="shared" si="61"/>
        <v>3054.1128852707179</v>
      </c>
      <c r="V68" s="1236">
        <f t="shared" si="61"/>
        <v>3054.1128852707179</v>
      </c>
      <c r="W68" s="1236">
        <f t="shared" si="61"/>
        <v>3054.1128852707179</v>
      </c>
      <c r="X68" s="379"/>
    </row>
    <row r="69" spans="2:24" s="1171" customFormat="1" ht="30" x14ac:dyDescent="0.3">
      <c r="B69" s="444"/>
      <c r="C69" s="378" t="s">
        <v>1667</v>
      </c>
      <c r="D69" s="377"/>
      <c r="E69" s="1194"/>
      <c r="F69" s="1193"/>
      <c r="G69" s="1193"/>
      <c r="H69" s="1193"/>
      <c r="I69" s="1194"/>
      <c r="J69" s="1193"/>
      <c r="K69" s="1193"/>
      <c r="L69" s="1193"/>
      <c r="M69" s="1194"/>
      <c r="N69" s="1193"/>
      <c r="O69" s="1193"/>
      <c r="P69" s="1193"/>
      <c r="Q69" s="1150"/>
      <c r="R69" s="1150"/>
      <c r="S69" s="1150"/>
      <c r="T69" s="1150"/>
      <c r="U69" s="1150"/>
      <c r="V69" s="1150"/>
      <c r="W69" s="1150"/>
      <c r="X69" s="379"/>
    </row>
    <row r="70" spans="2:24" s="1171" customFormat="1" x14ac:dyDescent="0.3">
      <c r="B70" s="444">
        <v>2.4</v>
      </c>
      <c r="C70" s="1217" t="s">
        <v>1682</v>
      </c>
      <c r="D70" s="377" t="s">
        <v>111</v>
      </c>
      <c r="E70" s="1194"/>
      <c r="F70" s="1196">
        <f>SUMPRODUCT(F58:F60,F94:F96)/SUM(F94:F96)-F68</f>
        <v>120</v>
      </c>
      <c r="G70" s="1197">
        <f>SUMPRODUCT(G58:G60,G94:G96)/SUM(G94:G96)-G68</f>
        <v>523.61055719381466</v>
      </c>
      <c r="H70" s="1193">
        <f t="shared" ref="H70" si="62">G70-F70</f>
        <v>403.61055719381466</v>
      </c>
      <c r="I70" s="1194"/>
      <c r="J70" s="1198">
        <f>SUMPRODUCT(J58:J60,J94:J96)/SUM(J94:J96)-J68</f>
        <v>120</v>
      </c>
      <c r="K70" s="1199">
        <f>SUMPRODUCT(K58:K60,K94:K96)/SUM(K94:K96)-K68</f>
        <v>166.74945853230383</v>
      </c>
      <c r="L70" s="1150">
        <f t="shared" ref="L70" si="63">K70-J70</f>
        <v>46.749458532303834</v>
      </c>
      <c r="M70" s="1194"/>
      <c r="N70" s="1342">
        <f>SUMPRODUCT(N58:N60,N94:N96)/SUM(N94:N96)-N68</f>
        <v>120.0388047471838</v>
      </c>
      <c r="O70" s="1342">
        <f>SUMPRODUCT(O58:O60,O94:O96)/SUM(O94:O96)-O68</f>
        <v>159.35387876200275</v>
      </c>
      <c r="P70" s="1342">
        <f>SUMPRODUCT(P58:P60,P94:P96)/SUM(P94:P96)-P68</f>
        <v>120</v>
      </c>
      <c r="Q70" s="1342">
        <f>SUMPRODUCT(Q58:Q60,Q94:Q96)/SUM(Q94:Q96)-Q68</f>
        <v>120</v>
      </c>
      <c r="R70" s="1150">
        <f t="shared" ref="R70" si="64">Q70-N70</f>
        <v>-3.8804747183803556E-2</v>
      </c>
      <c r="S70" s="1197">
        <f t="shared" ref="S70:W70" si="65">SUMPRODUCT(S58:S60,S94:S96)/SUM(S94:S96)-S68</f>
        <v>85</v>
      </c>
      <c r="T70" s="1197">
        <f t="shared" si="65"/>
        <v>85</v>
      </c>
      <c r="U70" s="1197">
        <f t="shared" si="65"/>
        <v>85</v>
      </c>
      <c r="V70" s="1197">
        <f t="shared" si="65"/>
        <v>85</v>
      </c>
      <c r="W70" s="1197">
        <f t="shared" si="65"/>
        <v>85</v>
      </c>
      <c r="X70" s="379"/>
    </row>
    <row r="71" spans="2:24" s="1171" customFormat="1" x14ac:dyDescent="0.35">
      <c r="B71" s="455"/>
      <c r="C71" s="377"/>
      <c r="D71" s="377"/>
      <c r="E71" s="610"/>
      <c r="F71" s="1150"/>
      <c r="G71" s="1150"/>
      <c r="H71" s="1150"/>
      <c r="I71" s="610"/>
      <c r="J71" s="1150"/>
      <c r="K71" s="1150"/>
      <c r="L71" s="1150"/>
      <c r="M71" s="610"/>
      <c r="N71" s="1150"/>
      <c r="O71" s="1150"/>
      <c r="P71" s="1150"/>
      <c r="Q71" s="1150"/>
      <c r="R71" s="1150"/>
      <c r="S71" s="1150"/>
      <c r="T71" s="1150"/>
      <c r="U71" s="1150"/>
      <c r="V71" s="1150"/>
      <c r="W71" s="1150"/>
      <c r="X71" s="379"/>
    </row>
    <row r="72" spans="2:24" s="1171" customFormat="1" x14ac:dyDescent="0.3">
      <c r="B72" s="444">
        <v>2.5</v>
      </c>
      <c r="C72" s="378" t="s">
        <v>116</v>
      </c>
      <c r="D72" s="445"/>
      <c r="E72" s="1194"/>
      <c r="F72" s="1193"/>
      <c r="G72" s="1193"/>
      <c r="H72" s="1193"/>
      <c r="I72" s="1194"/>
      <c r="J72" s="1193"/>
      <c r="K72" s="1193"/>
      <c r="L72" s="1193"/>
      <c r="M72" s="1194"/>
      <c r="N72" s="1150"/>
      <c r="O72" s="1150"/>
      <c r="P72" s="1150"/>
      <c r="Q72" s="1150"/>
      <c r="R72" s="1150"/>
      <c r="S72" s="1150"/>
      <c r="T72" s="1150"/>
      <c r="U72" s="1150"/>
      <c r="V72" s="1150"/>
      <c r="W72" s="1150"/>
      <c r="X72" s="379"/>
    </row>
    <row r="73" spans="2:24" s="1171" customFormat="1" x14ac:dyDescent="0.35">
      <c r="B73" s="455" t="s">
        <v>412</v>
      </c>
      <c r="C73" s="377" t="s">
        <v>748</v>
      </c>
      <c r="D73" s="377" t="s">
        <v>118</v>
      </c>
      <c r="E73" s="610"/>
      <c r="F73" s="1150">
        <f>'F2.3'!$E$26</f>
        <v>4166.1659512840852</v>
      </c>
      <c r="G73" s="1150">
        <f>'F2.3'!$F$26</f>
        <v>4168.9849136389139</v>
      </c>
      <c r="H73" s="1150">
        <f t="shared" ref="H73:H81" si="66">G73-F73</f>
        <v>2.8189623548287273</v>
      </c>
      <c r="I73" s="610"/>
      <c r="J73" s="1150">
        <f>'F2.3'!$H$26</f>
        <v>4617.2028787065301</v>
      </c>
      <c r="K73" s="1150">
        <f>'F2.3'!$I$26</f>
        <v>4630.5052104221959</v>
      </c>
      <c r="L73" s="1150">
        <f t="shared" ref="L73:L81" si="67">K73-J73</f>
        <v>13.302331715665787</v>
      </c>
      <c r="M73" s="610"/>
      <c r="N73" s="1189">
        <f>'F2.3'!$K$26</f>
        <v>4767.172692401924</v>
      </c>
      <c r="O73" s="1189">
        <f>'F2.3'!$L$26</f>
        <v>4950.5679827843442</v>
      </c>
      <c r="P73" s="1189">
        <f>'F2.3'!$M$26</f>
        <v>4630.5052104221959</v>
      </c>
      <c r="Q73" s="1189">
        <f>SUMPRODUCT(O73:P73,O94:P94)/SUM(O94:P94)</f>
        <v>4767.172692401924</v>
      </c>
      <c r="R73" s="1150">
        <f t="shared" ref="R73:R81" si="68">Q73-N73</f>
        <v>0</v>
      </c>
      <c r="S73" s="1150">
        <f>'F2.3'!P26</f>
        <v>5167.2296892862605</v>
      </c>
      <c r="T73" s="1150">
        <f>'F2.3'!Q26</f>
        <v>5425.5911737505739</v>
      </c>
      <c r="U73" s="1150">
        <f>'F2.3'!R26</f>
        <v>5696.870732438103</v>
      </c>
      <c r="V73" s="1150">
        <f>'F2.3'!S26</f>
        <v>5981.7142690600094</v>
      </c>
      <c r="W73" s="1150">
        <f>'F2.3'!T26</f>
        <v>6280.7999825130091</v>
      </c>
      <c r="X73" s="485"/>
    </row>
    <row r="74" spans="2:24" s="1171" customFormat="1" x14ac:dyDescent="0.35">
      <c r="B74" s="455" t="s">
        <v>415</v>
      </c>
      <c r="C74" s="377" t="s">
        <v>749</v>
      </c>
      <c r="D74" s="377" t="s">
        <v>118</v>
      </c>
      <c r="E74" s="610"/>
      <c r="F74" s="1150">
        <f>'F2.3'!$E$40</f>
        <v>15879.809626987466</v>
      </c>
      <c r="G74" s="1150">
        <f>'F2.3'!$F$40</f>
        <v>15879.809626987466</v>
      </c>
      <c r="H74" s="1150">
        <f>G74-F74</f>
        <v>0</v>
      </c>
      <c r="I74" s="610"/>
      <c r="J74" s="1150">
        <f>'F2.3'!$H$40</f>
        <v>15763.593779999999</v>
      </c>
      <c r="K74" s="1150">
        <f>'F2.3'!$I$40</f>
        <v>15763.593779999999</v>
      </c>
      <c r="L74" s="1150">
        <f t="shared" si="67"/>
        <v>0</v>
      </c>
      <c r="M74" s="610"/>
      <c r="N74" s="1189">
        <f>'F2.3'!$K$40</f>
        <v>0</v>
      </c>
      <c r="O74" s="1189">
        <f>'F2.3'!$L$40</f>
        <v>0</v>
      </c>
      <c r="P74" s="1189">
        <f>'F2.3'!$M$40</f>
        <v>15763.593779999999</v>
      </c>
      <c r="Q74" s="1189">
        <f>IFERROR(SUMPRODUCT(O74:P74,O95:P95)/SUM(O95:P95),0)</f>
        <v>0</v>
      </c>
      <c r="R74" s="1150">
        <f t="shared" si="68"/>
        <v>0</v>
      </c>
      <c r="S74" s="1150">
        <f>'F2.3'!P40</f>
        <v>0</v>
      </c>
      <c r="T74" s="1150">
        <f>'F2.3'!Q40</f>
        <v>0</v>
      </c>
      <c r="U74" s="1150">
        <f>'F2.3'!R40</f>
        <v>0</v>
      </c>
      <c r="V74" s="1150">
        <f>'F2.3'!S40</f>
        <v>0</v>
      </c>
      <c r="W74" s="1150">
        <f>'F2.3'!T40</f>
        <v>0</v>
      </c>
      <c r="X74" s="485"/>
    </row>
    <row r="75" spans="2:24" s="1171" customFormat="1" x14ac:dyDescent="0.35">
      <c r="B75" s="455" t="s">
        <v>416</v>
      </c>
      <c r="C75" s="377" t="s">
        <v>856</v>
      </c>
      <c r="D75" s="377" t="s">
        <v>118</v>
      </c>
      <c r="E75" s="610"/>
      <c r="F75" s="1150">
        <f>'F2.3'!$E$54</f>
        <v>4362.0673746870507</v>
      </c>
      <c r="G75" s="1150">
        <f>'F2.3'!$F$54</f>
        <v>4362.0673746870507</v>
      </c>
      <c r="H75" s="1150">
        <f t="shared" si="66"/>
        <v>0</v>
      </c>
      <c r="I75" s="610"/>
      <c r="J75" s="1150">
        <f>'F2.3'!$H$54</f>
        <v>4523.2362554640795</v>
      </c>
      <c r="K75" s="1150">
        <f>'F2.3'!$I$54</f>
        <v>4523.2362554640795</v>
      </c>
      <c r="L75" s="1150">
        <f t="shared" si="67"/>
        <v>0</v>
      </c>
      <c r="M75" s="610"/>
      <c r="N75" s="1189">
        <f>'F2.3'!$K$54</f>
        <v>4523.2362554640795</v>
      </c>
      <c r="O75" s="1189">
        <f>'F2.3'!$L$54</f>
        <v>0</v>
      </c>
      <c r="P75" s="1189">
        <f>'F2.3'!$M$54</f>
        <v>4523.2362554640795</v>
      </c>
      <c r="Q75" s="1189">
        <f>SUMPRODUCT(O75:P75,O96:P96)/SUM(O96:P96)</f>
        <v>4523.2362554640795</v>
      </c>
      <c r="R75" s="1150">
        <f t="shared" si="68"/>
        <v>0</v>
      </c>
      <c r="S75" s="1150">
        <f>'F2.3'!P54</f>
        <v>0</v>
      </c>
      <c r="T75" s="1150">
        <f>'F2.3'!Q54</f>
        <v>0</v>
      </c>
      <c r="U75" s="1150">
        <f>'F2.3'!R54</f>
        <v>0</v>
      </c>
      <c r="V75" s="1150">
        <f>'F2.3'!S54</f>
        <v>0</v>
      </c>
      <c r="W75" s="1150">
        <f>'F2.3'!T54</f>
        <v>0</v>
      </c>
      <c r="X75" s="485"/>
    </row>
    <row r="76" spans="2:24" s="1171" customFormat="1" x14ac:dyDescent="0.35">
      <c r="B76" s="455" t="s">
        <v>753</v>
      </c>
      <c r="C76" s="377" t="s">
        <v>1632</v>
      </c>
      <c r="D76" s="377" t="s">
        <v>118</v>
      </c>
      <c r="E76" s="610"/>
      <c r="F76" s="1150"/>
      <c r="G76" s="1150"/>
      <c r="H76" s="1150"/>
      <c r="I76" s="610"/>
      <c r="J76" s="1150"/>
      <c r="K76" s="1150"/>
      <c r="L76" s="1150"/>
      <c r="M76" s="610"/>
      <c r="N76" s="1189"/>
      <c r="O76" s="1189"/>
      <c r="P76" s="1189"/>
      <c r="Q76" s="1189"/>
      <c r="R76" s="1150"/>
      <c r="S76" s="1150">
        <f>'F2.3'!P68</f>
        <v>0</v>
      </c>
      <c r="T76" s="1150">
        <f>'F2.3'!Q68</f>
        <v>0</v>
      </c>
      <c r="U76" s="1150">
        <f>'F2.3'!R68</f>
        <v>0</v>
      </c>
      <c r="V76" s="1150">
        <f>'F2.3'!S68</f>
        <v>0</v>
      </c>
      <c r="W76" s="1150">
        <f>'F2.3'!T68</f>
        <v>0</v>
      </c>
      <c r="X76" s="485"/>
    </row>
    <row r="77" spans="2:24" s="1171" customFormat="1" x14ac:dyDescent="0.35">
      <c r="B77" s="455" t="s">
        <v>865</v>
      </c>
      <c r="C77" s="377" t="s">
        <v>1644</v>
      </c>
      <c r="D77" s="377" t="s">
        <v>118</v>
      </c>
      <c r="E77" s="610"/>
      <c r="F77" s="1150"/>
      <c r="G77" s="1150"/>
      <c r="H77" s="1150"/>
      <c r="I77" s="610"/>
      <c r="J77" s="1150"/>
      <c r="K77" s="1150"/>
      <c r="L77" s="1150"/>
      <c r="M77" s="610"/>
      <c r="N77" s="1189"/>
      <c r="O77" s="1189"/>
      <c r="P77" s="1189"/>
      <c r="Q77" s="1189"/>
      <c r="R77" s="1150"/>
      <c r="S77" s="1150">
        <f>'F2.3'!P82</f>
        <v>0</v>
      </c>
      <c r="T77" s="1150">
        <f>'F2.3'!Q82</f>
        <v>0</v>
      </c>
      <c r="U77" s="1150">
        <f>'F2.3'!R82</f>
        <v>0</v>
      </c>
      <c r="V77" s="1150">
        <f>'F2.3'!S82</f>
        <v>0</v>
      </c>
      <c r="W77" s="1150">
        <f>'F2.3'!T82</f>
        <v>0</v>
      </c>
      <c r="X77" s="485"/>
    </row>
    <row r="78" spans="2:24" s="1171" customFormat="1" x14ac:dyDescent="0.35">
      <c r="B78" s="455" t="s">
        <v>866</v>
      </c>
      <c r="C78" s="377" t="s">
        <v>750</v>
      </c>
      <c r="D78" s="377" t="s">
        <v>118</v>
      </c>
      <c r="E78" s="1200"/>
      <c r="F78" s="1150">
        <f>'F2.3'!$E$112</f>
        <v>53549.468549999998</v>
      </c>
      <c r="G78" s="1150">
        <f>'F2.3'!$F$112</f>
        <v>53549.468549999998</v>
      </c>
      <c r="H78" s="1150">
        <f t="shared" si="66"/>
        <v>0</v>
      </c>
      <c r="I78" s="1200"/>
      <c r="J78" s="1150">
        <f>'F2.3'!$H$112</f>
        <v>52289.303570019722</v>
      </c>
      <c r="K78" s="1150">
        <f>'F2.3'!$I$112</f>
        <v>52289.303570019722</v>
      </c>
      <c r="L78" s="1150">
        <f t="shared" si="67"/>
        <v>0</v>
      </c>
      <c r="M78" s="1200"/>
      <c r="N78" s="1189">
        <f>'F2.3'!$K$112</f>
        <v>55327.637893204512</v>
      </c>
      <c r="O78" s="1189">
        <f>'F2.3'!$L$112</f>
        <v>56289.213933405626</v>
      </c>
      <c r="P78" s="1189">
        <f>'F2.3'!$M$112</f>
        <v>52289.303570019722</v>
      </c>
      <c r="Q78" s="1189">
        <f>SUMPRODUCT(O78:P78,O99:P99)/SUM(O99:P99)</f>
        <v>55327.637893204512</v>
      </c>
      <c r="R78" s="1150">
        <f t="shared" si="68"/>
        <v>0</v>
      </c>
      <c r="S78" s="1150">
        <f>'F2.3'!P112</f>
        <v>56226.941977499999</v>
      </c>
      <c r="T78" s="1150">
        <f>'F2.3'!Q112</f>
        <v>59038.289076375004</v>
      </c>
      <c r="U78" s="1150">
        <f>'F2.3'!R112</f>
        <v>61990.203530193758</v>
      </c>
      <c r="V78" s="1150">
        <f>'F2.3'!S112</f>
        <v>65089.713706703449</v>
      </c>
      <c r="W78" s="1150">
        <f>'F2.3'!T112</f>
        <v>68344.19939203863</v>
      </c>
      <c r="X78" s="485"/>
    </row>
    <row r="79" spans="2:24" s="1171" customFormat="1" x14ac:dyDescent="0.35">
      <c r="B79" s="455" t="s">
        <v>867</v>
      </c>
      <c r="C79" s="377" t="s">
        <v>751</v>
      </c>
      <c r="D79" s="377" t="s">
        <v>118</v>
      </c>
      <c r="E79" s="1200"/>
      <c r="F79" s="1150">
        <f>'F2.3'!$E$97</f>
        <v>78091.920370000007</v>
      </c>
      <c r="G79" s="1150">
        <f>'F2.3'!$F$97</f>
        <v>78091.920370000007</v>
      </c>
      <c r="H79" s="1193">
        <f t="shared" si="66"/>
        <v>0</v>
      </c>
      <c r="I79" s="1200"/>
      <c r="J79" s="1150">
        <f>'F2.3'!$H$97</f>
        <v>82076.902700827544</v>
      </c>
      <c r="K79" s="1150">
        <f>'F2.3'!$I$97</f>
        <v>82076.902700827544</v>
      </c>
      <c r="L79" s="1150">
        <f t="shared" si="67"/>
        <v>0</v>
      </c>
      <c r="M79" s="1200"/>
      <c r="N79" s="1189">
        <f>'F2.3'!$K$97</f>
        <v>80160.477834022662</v>
      </c>
      <c r="O79" s="1189">
        <f>'F2.3'!$L$97</f>
        <v>78898.938593526356</v>
      </c>
      <c r="P79" s="1189">
        <f>'F2.3'!$M$97</f>
        <v>82076.902700827544</v>
      </c>
      <c r="Q79" s="1189">
        <f>SUMPRODUCT(O79:P79,O100:P100)/SUM(O100:P100)</f>
        <v>80160.477834022662</v>
      </c>
      <c r="R79" s="1150">
        <f t="shared" si="68"/>
        <v>0</v>
      </c>
      <c r="S79" s="1150">
        <f>'F2.3'!P97</f>
        <v>81996.516388500007</v>
      </c>
      <c r="T79" s="1150">
        <f>'F2.3'!Q97</f>
        <v>86096.342207925016</v>
      </c>
      <c r="U79" s="1150">
        <f>'F2.3'!R97</f>
        <v>90401.159318321268</v>
      </c>
      <c r="V79" s="1150">
        <f>'F2.3'!S97</f>
        <v>94921.21728423734</v>
      </c>
      <c r="W79" s="1150">
        <f>'F2.3'!T97</f>
        <v>99667.278148449215</v>
      </c>
      <c r="X79" s="485"/>
    </row>
    <row r="80" spans="2:24" s="1171" customFormat="1" x14ac:dyDescent="0.35">
      <c r="B80" s="455" t="s">
        <v>1634</v>
      </c>
      <c r="C80" s="377" t="s">
        <v>857</v>
      </c>
      <c r="D80" s="377" t="s">
        <v>118</v>
      </c>
      <c r="E80" s="1150"/>
      <c r="F80" s="1150">
        <f>'F2.3'!$E$125</f>
        <v>0</v>
      </c>
      <c r="G80" s="1150">
        <f>'F2.3'!$F$125</f>
        <v>0</v>
      </c>
      <c r="H80" s="1193">
        <f t="shared" si="66"/>
        <v>0</v>
      </c>
      <c r="I80" s="610"/>
      <c r="J80" s="1150">
        <f>'F2.3'!$H$125</f>
        <v>0</v>
      </c>
      <c r="K80" s="1150">
        <f>'F2.3'!$I$125</f>
        <v>0</v>
      </c>
      <c r="L80" s="1150">
        <f t="shared" si="67"/>
        <v>0</v>
      </c>
      <c r="M80" s="610"/>
      <c r="N80" s="1189">
        <f>'F2.3'!$K$125</f>
        <v>0</v>
      </c>
      <c r="O80" s="1189">
        <f>'F2.3'!$L$125</f>
        <v>0</v>
      </c>
      <c r="P80" s="1189">
        <f>'F2.3'!$M$125</f>
        <v>0</v>
      </c>
      <c r="Q80" s="1150">
        <f>IFERROR(SUMPRODUCT(O80:P80,O101:P101)/SUM(O101:P101),0)</f>
        <v>0</v>
      </c>
      <c r="R80" s="1150">
        <f t="shared" si="68"/>
        <v>0</v>
      </c>
      <c r="S80" s="1150">
        <f>'F2.3'!P125</f>
        <v>0</v>
      </c>
      <c r="T80" s="1150">
        <f>'F2.3'!Q125</f>
        <v>0</v>
      </c>
      <c r="U80" s="1150">
        <f>'F2.3'!R125</f>
        <v>0</v>
      </c>
      <c r="V80" s="1150">
        <f>'F2.3'!S125</f>
        <v>0</v>
      </c>
      <c r="W80" s="1150">
        <f>'F2.3'!T125</f>
        <v>0</v>
      </c>
      <c r="X80" s="485"/>
    </row>
    <row r="81" spans="2:24" s="1171" customFormat="1" x14ac:dyDescent="0.35">
      <c r="B81" s="455" t="s">
        <v>1635</v>
      </c>
      <c r="C81" s="377" t="s">
        <v>858</v>
      </c>
      <c r="D81" s="377" t="s">
        <v>118</v>
      </c>
      <c r="E81" s="1150"/>
      <c r="F81" s="1150">
        <f>'F2.3'!$E$138</f>
        <v>0</v>
      </c>
      <c r="G81" s="1150">
        <f>'F2.3'!$F$138</f>
        <v>0</v>
      </c>
      <c r="H81" s="1193">
        <f t="shared" si="66"/>
        <v>0</v>
      </c>
      <c r="I81" s="610"/>
      <c r="J81" s="1150">
        <f>'F2.3'!$H$138</f>
        <v>0</v>
      </c>
      <c r="K81" s="1150">
        <f>'F2.3'!$I$138</f>
        <v>0</v>
      </c>
      <c r="L81" s="1150">
        <f t="shared" si="67"/>
        <v>0</v>
      </c>
      <c r="M81" s="610"/>
      <c r="N81" s="1150">
        <f>'F2.3'!$K$138</f>
        <v>0</v>
      </c>
      <c r="O81" s="1150">
        <f>'F2.3'!$L$138</f>
        <v>0</v>
      </c>
      <c r="P81" s="1150">
        <f>'F2.3'!$M$138</f>
        <v>0</v>
      </c>
      <c r="Q81" s="1150">
        <f>IFERROR(SUMPRODUCT(O81:P81,O102:P102)/SUM(O102:P102),0)</f>
        <v>0</v>
      </c>
      <c r="R81" s="1150">
        <f t="shared" si="68"/>
        <v>0</v>
      </c>
      <c r="S81" s="1150">
        <f>'F2.3'!P138</f>
        <v>0</v>
      </c>
      <c r="T81" s="1150">
        <f>'F2.3'!Q138</f>
        <v>0</v>
      </c>
      <c r="U81" s="1150">
        <f>'F2.3'!R138</f>
        <v>0</v>
      </c>
      <c r="V81" s="1150">
        <f>'F2.3'!S138</f>
        <v>0</v>
      </c>
      <c r="W81" s="1150">
        <f>'F2.3'!T138</f>
        <v>0</v>
      </c>
      <c r="X81" s="485"/>
    </row>
    <row r="82" spans="2:24" s="1171" customFormat="1" x14ac:dyDescent="0.3">
      <c r="B82" s="444">
        <v>3</v>
      </c>
      <c r="C82" s="1217" t="s">
        <v>121</v>
      </c>
      <c r="D82" s="445"/>
      <c r="E82" s="1194"/>
      <c r="F82" s="1193"/>
      <c r="G82" s="1193"/>
      <c r="H82" s="1193"/>
      <c r="I82" s="1194"/>
      <c r="J82" s="1193"/>
      <c r="K82" s="1193"/>
      <c r="L82" s="1193"/>
      <c r="M82" s="1194"/>
      <c r="N82" s="1150"/>
      <c r="O82" s="1150"/>
      <c r="P82" s="1150"/>
      <c r="Q82" s="1150"/>
      <c r="R82" s="1150"/>
      <c r="S82" s="1150"/>
      <c r="T82" s="1150"/>
      <c r="U82" s="1150"/>
      <c r="V82" s="1150"/>
      <c r="W82" s="1150"/>
      <c r="X82" s="485"/>
    </row>
    <row r="83" spans="2:24" s="1171" customFormat="1" x14ac:dyDescent="0.3">
      <c r="B83" s="444">
        <v>3.1</v>
      </c>
      <c r="C83" s="378" t="s">
        <v>122</v>
      </c>
      <c r="D83" s="445"/>
      <c r="E83" s="1194"/>
      <c r="F83" s="1193"/>
      <c r="G83" s="1193"/>
      <c r="H83" s="1193"/>
      <c r="I83" s="1194"/>
      <c r="J83" s="1193"/>
      <c r="K83" s="1193"/>
      <c r="L83" s="1193"/>
      <c r="M83" s="1194"/>
      <c r="N83" s="1150"/>
      <c r="O83" s="1150"/>
      <c r="P83" s="1150"/>
      <c r="Q83" s="1150"/>
      <c r="R83" s="1150"/>
      <c r="S83" s="1150"/>
      <c r="T83" s="1150"/>
      <c r="U83" s="1150"/>
      <c r="V83" s="1150"/>
      <c r="W83" s="1150"/>
      <c r="X83" s="485"/>
    </row>
    <row r="84" spans="2:24" s="1171" customFormat="1" x14ac:dyDescent="0.35">
      <c r="B84" s="455" t="s">
        <v>123</v>
      </c>
      <c r="C84" s="377" t="s">
        <v>748</v>
      </c>
      <c r="D84" s="377" t="s">
        <v>896</v>
      </c>
      <c r="E84" s="1151"/>
      <c r="F84" s="1151">
        <f t="shared" ref="F84:G86" si="69">F94/F$23/1000</f>
        <v>0.65824522495437088</v>
      </c>
      <c r="G84" s="1151">
        <f t="shared" si="69"/>
        <v>0.886853866945436</v>
      </c>
      <c r="H84" s="1150">
        <f>G84-F84</f>
        <v>0.22860864199106512</v>
      </c>
      <c r="I84" s="610"/>
      <c r="J84" s="1150">
        <f>J94/J$23/1000</f>
        <v>0.80655246652755386</v>
      </c>
      <c r="K84" s="1150">
        <f t="shared" ref="J84:K86" si="70">K94/K$23/1000</f>
        <v>0.87363095941104663</v>
      </c>
      <c r="L84" s="1150">
        <f>K84-J84</f>
        <v>6.7078492883492769E-2</v>
      </c>
      <c r="M84" s="610"/>
      <c r="N84" s="1150">
        <f t="shared" ref="N84:P86" si="71">N94/N$23/1000</f>
        <v>0.85411072162506796</v>
      </c>
      <c r="O84" s="1150">
        <f t="shared" si="71"/>
        <v>0.9095851760267567</v>
      </c>
      <c r="P84" s="1150">
        <f t="shared" si="71"/>
        <v>0.83540974331334117</v>
      </c>
      <c r="Q84" s="1150">
        <f t="shared" ref="Q84" si="72">Q94/Q$23/1000</f>
        <v>0.86554942181592676</v>
      </c>
      <c r="R84" s="1150">
        <f t="shared" ref="R84:R92" si="73">Q84-N84</f>
        <v>1.1438700190858797E-2</v>
      </c>
      <c r="S84" s="1150">
        <f>S94/S$23/1000</f>
        <v>0.90778675563717515</v>
      </c>
      <c r="T84" s="1150">
        <f t="shared" ref="T84:W84" si="74">T94/T$23/1000</f>
        <v>0.90778657872787416</v>
      </c>
      <c r="U84" s="1150">
        <f t="shared" si="74"/>
        <v>0.90778657872787416</v>
      </c>
      <c r="V84" s="1150">
        <f t="shared" si="74"/>
        <v>0.90778657872787416</v>
      </c>
      <c r="W84" s="1150">
        <f t="shared" si="74"/>
        <v>0.90778657872787416</v>
      </c>
      <c r="X84" s="485"/>
    </row>
    <row r="85" spans="2:24" s="1171" customFormat="1" x14ac:dyDescent="0.35">
      <c r="B85" s="455" t="s">
        <v>124</v>
      </c>
      <c r="C85" s="377" t="s">
        <v>749</v>
      </c>
      <c r="D85" s="377" t="s">
        <v>896</v>
      </c>
      <c r="E85" s="1151"/>
      <c r="F85" s="1151">
        <f t="shared" si="69"/>
        <v>8.1325416601277192E-2</v>
      </c>
      <c r="G85" s="1151">
        <f t="shared" si="69"/>
        <v>0.10956974309808448</v>
      </c>
      <c r="H85" s="1150">
        <f t="shared" ref="H85:H92" si="75">G85-F85</f>
        <v>2.824432649680729E-2</v>
      </c>
      <c r="I85" s="610"/>
      <c r="J85" s="1150">
        <f t="shared" si="70"/>
        <v>0</v>
      </c>
      <c r="K85" s="1150">
        <f t="shared" si="70"/>
        <v>0</v>
      </c>
      <c r="L85" s="1150">
        <f t="shared" ref="L85:L92" si="76">K85-J85</f>
        <v>0</v>
      </c>
      <c r="M85" s="610"/>
      <c r="N85" s="1150">
        <f t="shared" si="71"/>
        <v>0</v>
      </c>
      <c r="O85" s="1150">
        <f t="shared" si="71"/>
        <v>0</v>
      </c>
      <c r="P85" s="1150">
        <f t="shared" si="71"/>
        <v>0</v>
      </c>
      <c r="Q85" s="1150">
        <f t="shared" ref="Q85" si="77">Q95/Q$23/1000</f>
        <v>0</v>
      </c>
      <c r="R85" s="1150">
        <f t="shared" si="73"/>
        <v>0</v>
      </c>
      <c r="S85" s="1150">
        <f t="shared" ref="S85:W85" si="78">S95/S$23/1000</f>
        <v>0</v>
      </c>
      <c r="T85" s="1150">
        <f t="shared" si="78"/>
        <v>0</v>
      </c>
      <c r="U85" s="1150">
        <f t="shared" si="78"/>
        <v>0</v>
      </c>
      <c r="V85" s="1150">
        <f t="shared" si="78"/>
        <v>0</v>
      </c>
      <c r="W85" s="1150">
        <f t="shared" si="78"/>
        <v>0</v>
      </c>
      <c r="X85" s="485"/>
    </row>
    <row r="86" spans="2:24" s="1171" customFormat="1" x14ac:dyDescent="0.35">
      <c r="B86" s="455" t="s">
        <v>125</v>
      </c>
      <c r="C86" s="377" t="s">
        <v>856</v>
      </c>
      <c r="D86" s="377" t="s">
        <v>896</v>
      </c>
      <c r="E86" s="1151"/>
      <c r="F86" s="1151">
        <f t="shared" si="69"/>
        <v>4.1038215964027146E-2</v>
      </c>
      <c r="G86" s="1151">
        <f t="shared" si="69"/>
        <v>5.52907930669186E-2</v>
      </c>
      <c r="H86" s="1150">
        <f t="shared" si="75"/>
        <v>1.4252577102891455E-2</v>
      </c>
      <c r="I86" s="610"/>
      <c r="J86" s="1150">
        <f t="shared" si="70"/>
        <v>6.2358471414752197E-2</v>
      </c>
      <c r="K86" s="1150">
        <f t="shared" si="70"/>
        <v>6.7544634069524823E-2</v>
      </c>
      <c r="L86" s="1150">
        <f t="shared" si="76"/>
        <v>5.1861626547726261E-3</v>
      </c>
      <c r="M86" s="610"/>
      <c r="N86" s="1150">
        <f t="shared" si="71"/>
        <v>2.7451573795213725E-2</v>
      </c>
      <c r="O86" s="1150">
        <f t="shared" si="71"/>
        <v>0</v>
      </c>
      <c r="P86" s="1150">
        <f t="shared" si="71"/>
        <v>4.6534491978042297E-2</v>
      </c>
      <c r="Q86" s="1150">
        <f t="shared" ref="Q86" si="79">Q96/Q$23/1000</f>
        <v>2.7626147581614174E-2</v>
      </c>
      <c r="R86" s="1150">
        <f t="shared" si="73"/>
        <v>1.7457378640044902E-4</v>
      </c>
      <c r="S86" s="1150">
        <f>S96/S$23/1000</f>
        <v>0</v>
      </c>
      <c r="T86" s="1150">
        <f t="shared" ref="T86:W86" si="80">T96/T$23/1000</f>
        <v>0</v>
      </c>
      <c r="U86" s="1150">
        <f t="shared" si="80"/>
        <v>0</v>
      </c>
      <c r="V86" s="1150">
        <f t="shared" si="80"/>
        <v>0</v>
      </c>
      <c r="W86" s="1150">
        <f t="shared" si="80"/>
        <v>0</v>
      </c>
      <c r="X86" s="485"/>
    </row>
    <row r="87" spans="2:24" s="1171" customFormat="1" x14ac:dyDescent="0.35">
      <c r="B87" s="455" t="s">
        <v>754</v>
      </c>
      <c r="C87" s="377" t="s">
        <v>1632</v>
      </c>
      <c r="D87" s="377" t="s">
        <v>896</v>
      </c>
      <c r="E87" s="1151"/>
      <c r="F87" s="1151"/>
      <c r="G87" s="1151"/>
      <c r="H87" s="1150"/>
      <c r="I87" s="610"/>
      <c r="J87" s="1150"/>
      <c r="K87" s="1150"/>
      <c r="L87" s="1150"/>
      <c r="M87" s="610"/>
      <c r="N87" s="1150"/>
      <c r="O87" s="1150"/>
      <c r="P87" s="1150"/>
      <c r="Q87" s="1150"/>
      <c r="R87" s="1150"/>
      <c r="S87" s="1150">
        <f t="shared" ref="S87:W87" si="81">S97/S$23/1000</f>
        <v>0</v>
      </c>
      <c r="T87" s="1150">
        <f t="shared" si="81"/>
        <v>0</v>
      </c>
      <c r="U87" s="1150">
        <f t="shared" si="81"/>
        <v>0</v>
      </c>
      <c r="V87" s="1150">
        <f t="shared" si="81"/>
        <v>0</v>
      </c>
      <c r="W87" s="1150">
        <f t="shared" si="81"/>
        <v>0</v>
      </c>
      <c r="X87" s="485"/>
    </row>
    <row r="88" spans="2:24" s="1171" customFormat="1" x14ac:dyDescent="0.35">
      <c r="B88" s="455" t="s">
        <v>868</v>
      </c>
      <c r="C88" s="377" t="s">
        <v>1644</v>
      </c>
      <c r="D88" s="377" t="s">
        <v>896</v>
      </c>
      <c r="E88" s="1151"/>
      <c r="F88" s="1151"/>
      <c r="G88" s="1151"/>
      <c r="H88" s="1150"/>
      <c r="I88" s="610"/>
      <c r="J88" s="1150"/>
      <c r="K88" s="1150"/>
      <c r="L88" s="1150"/>
      <c r="M88" s="610"/>
      <c r="N88" s="1150"/>
      <c r="O88" s="1150"/>
      <c r="P88" s="1150"/>
      <c r="Q88" s="1150"/>
      <c r="R88" s="1150"/>
      <c r="S88" s="1150">
        <f t="shared" ref="S88:W88" si="82">S98/S$23/1000</f>
        <v>0</v>
      </c>
      <c r="T88" s="1150">
        <f t="shared" si="82"/>
        <v>0</v>
      </c>
      <c r="U88" s="1150">
        <f t="shared" si="82"/>
        <v>0</v>
      </c>
      <c r="V88" s="1150">
        <f t="shared" si="82"/>
        <v>0</v>
      </c>
      <c r="W88" s="1150">
        <f t="shared" si="82"/>
        <v>0</v>
      </c>
      <c r="X88" s="485"/>
    </row>
    <row r="89" spans="2:24" s="1171" customFormat="1" x14ac:dyDescent="0.35">
      <c r="B89" s="455" t="s">
        <v>869</v>
      </c>
      <c r="C89" s="377" t="s">
        <v>750</v>
      </c>
      <c r="D89" s="377" t="s">
        <v>896</v>
      </c>
      <c r="E89" s="1151"/>
      <c r="F89" s="1151">
        <f>F$41*G89/(G89+G90+G91+G92)</f>
        <v>0.76542850206360757</v>
      </c>
      <c r="G89" s="1151">
        <f>G99/G$23</f>
        <v>3.1473349675623248</v>
      </c>
      <c r="H89" s="1150">
        <f t="shared" si="75"/>
        <v>2.3819064654987172</v>
      </c>
      <c r="I89" s="610"/>
      <c r="J89" s="1201">
        <f>J$41*K89/(K89+K90+K91+K92)</f>
        <v>1.0545349586495929</v>
      </c>
      <c r="K89" s="1150">
        <f>K99/K$23</f>
        <v>2.7174127002873898</v>
      </c>
      <c r="L89" s="1150">
        <f t="shared" si="76"/>
        <v>1.6628777416377969</v>
      </c>
      <c r="M89" s="610"/>
      <c r="N89" s="1201">
        <f>N$41*Q89/($Q$89+$Q$90+$Q$91+$Q$92)</f>
        <v>1.1682318449297318</v>
      </c>
      <c r="O89" s="1202">
        <f>O99/O$23</f>
        <v>4.8714097199105995</v>
      </c>
      <c r="P89" s="1150">
        <f>P99/P$23</f>
        <v>1.0552027354326028</v>
      </c>
      <c r="Q89" s="1202">
        <f>Q99/Q$23</f>
        <v>2.6058408295287596</v>
      </c>
      <c r="R89" s="1150">
        <f t="shared" si="73"/>
        <v>1.4376089845990279</v>
      </c>
      <c r="S89" s="1150">
        <f>S99/S$23</f>
        <v>1.1209761741366226</v>
      </c>
      <c r="T89" s="1150">
        <f t="shared" ref="T89:W89" si="83">T99/T$23</f>
        <v>1.121017895842972</v>
      </c>
      <c r="U89" s="1150">
        <f t="shared" si="83"/>
        <v>1.121017895842972</v>
      </c>
      <c r="V89" s="1150">
        <f t="shared" si="83"/>
        <v>1.121017895842972</v>
      </c>
      <c r="W89" s="1150">
        <f t="shared" si="83"/>
        <v>1.121017895842972</v>
      </c>
      <c r="X89" s="485"/>
    </row>
    <row r="90" spans="2:24" s="1171" customFormat="1" x14ac:dyDescent="0.35">
      <c r="B90" s="455" t="s">
        <v>870</v>
      </c>
      <c r="C90" s="377" t="s">
        <v>751</v>
      </c>
      <c r="D90" s="377" t="s">
        <v>896</v>
      </c>
      <c r="E90" s="1151"/>
      <c r="F90" s="1151">
        <f>F$41*G90/(G89+G90+G91+G92)</f>
        <v>0.63457149793639223</v>
      </c>
      <c r="G90" s="1151">
        <f>G100/G$23</f>
        <v>2.6092692648485172</v>
      </c>
      <c r="H90" s="1150">
        <f t="shared" si="75"/>
        <v>1.9746977669121248</v>
      </c>
      <c r="I90" s="610"/>
      <c r="J90" s="1201">
        <f>J$41*K90/(K90+K91+K92+K89)</f>
        <v>0.34546504135040712</v>
      </c>
      <c r="K90" s="1150">
        <f>K100/K$23</f>
        <v>0.89022282587299695</v>
      </c>
      <c r="L90" s="1150">
        <f t="shared" si="76"/>
        <v>0.54475778452258983</v>
      </c>
      <c r="M90" s="610"/>
      <c r="N90" s="1201">
        <f>N$41*Q90/($Q$89+$Q$90+$Q$91+$Q$92)</f>
        <v>0.23176815507026835</v>
      </c>
      <c r="O90" s="1150">
        <f>O100/O$23</f>
        <v>0.76724998811165535</v>
      </c>
      <c r="P90" s="1150">
        <f>P100/P$23</f>
        <v>0.34568380463754439</v>
      </c>
      <c r="Q90" s="1202">
        <f t="shared" ref="Q90:Q92" si="84">Q100/Q$23</f>
        <v>0.51697864947602545</v>
      </c>
      <c r="R90" s="1150">
        <f t="shared" si="73"/>
        <v>0.28521049440575708</v>
      </c>
      <c r="S90" s="1150">
        <f t="shared" ref="S90:W92" si="85">S100/S$23</f>
        <v>0.36723114504126164</v>
      </c>
      <c r="T90" s="1150">
        <f t="shared" si="85"/>
        <v>0.36724481304808393</v>
      </c>
      <c r="U90" s="1150">
        <f t="shared" si="85"/>
        <v>0.36724481304808393</v>
      </c>
      <c r="V90" s="1150">
        <f t="shared" si="85"/>
        <v>0.36724481304808393</v>
      </c>
      <c r="W90" s="1150">
        <f t="shared" si="85"/>
        <v>0.36724481304808393</v>
      </c>
      <c r="X90" s="485"/>
    </row>
    <row r="91" spans="2:24" s="1171" customFormat="1" x14ac:dyDescent="0.35">
      <c r="B91" s="455" t="s">
        <v>1636</v>
      </c>
      <c r="C91" s="377" t="s">
        <v>857</v>
      </c>
      <c r="D91" s="377" t="s">
        <v>896</v>
      </c>
      <c r="E91" s="1151"/>
      <c r="F91" s="1151">
        <f>F$41*G91/(G91+G92+G93+G94)</f>
        <v>0</v>
      </c>
      <c r="G91" s="1151">
        <f>G101/G$23</f>
        <v>0</v>
      </c>
      <c r="H91" s="1150">
        <f t="shared" si="75"/>
        <v>0</v>
      </c>
      <c r="I91" s="610"/>
      <c r="J91" s="1191">
        <f>J$41*K91/(K91+K92+K93+K94)</f>
        <v>0</v>
      </c>
      <c r="K91" s="1150">
        <f>K101/K$23</f>
        <v>0</v>
      </c>
      <c r="L91" s="1150">
        <f t="shared" si="76"/>
        <v>0</v>
      </c>
      <c r="M91" s="610"/>
      <c r="N91" s="1201">
        <f>N$41*Q91/($Q$89+$Q$90+$Q$91+$Q$92)</f>
        <v>0</v>
      </c>
      <c r="O91" s="1150">
        <f t="shared" ref="O91:P91" si="86">O101/O$23</f>
        <v>0</v>
      </c>
      <c r="P91" s="1150">
        <f t="shared" si="86"/>
        <v>0</v>
      </c>
      <c r="Q91" s="1202">
        <f t="shared" si="84"/>
        <v>0</v>
      </c>
      <c r="R91" s="1150">
        <f t="shared" si="73"/>
        <v>0</v>
      </c>
      <c r="S91" s="1150">
        <f t="shared" si="85"/>
        <v>0</v>
      </c>
      <c r="T91" s="1150">
        <f t="shared" si="85"/>
        <v>0</v>
      </c>
      <c r="U91" s="1150">
        <f t="shared" si="85"/>
        <v>0</v>
      </c>
      <c r="V91" s="1150">
        <f t="shared" si="85"/>
        <v>0</v>
      </c>
      <c r="W91" s="1150">
        <f t="shared" si="85"/>
        <v>0</v>
      </c>
      <c r="X91" s="485"/>
    </row>
    <row r="92" spans="2:24" s="1171" customFormat="1" x14ac:dyDescent="0.35">
      <c r="B92" s="455" t="s">
        <v>1637</v>
      </c>
      <c r="C92" s="377" t="s">
        <v>858</v>
      </c>
      <c r="D92" s="377" t="s">
        <v>896</v>
      </c>
      <c r="E92" s="1151"/>
      <c r="F92" s="1151">
        <f>F$41*G92/(G92+G93+G94+G95)</f>
        <v>0</v>
      </c>
      <c r="G92" s="1151">
        <f>G102/G$23</f>
        <v>0</v>
      </c>
      <c r="H92" s="1150">
        <f t="shared" si="75"/>
        <v>0</v>
      </c>
      <c r="I92" s="610"/>
      <c r="J92" s="1191">
        <f>J$41*K92/(K92+K93+K94+K95)</f>
        <v>0</v>
      </c>
      <c r="K92" s="1150">
        <f>K102/K$23</f>
        <v>0</v>
      </c>
      <c r="L92" s="1150">
        <f t="shared" si="76"/>
        <v>0</v>
      </c>
      <c r="M92" s="610"/>
      <c r="N92" s="1201">
        <f>N$41*Q92/($Q$89+$Q$90+$Q$91+$Q$92)</f>
        <v>0</v>
      </c>
      <c r="O92" s="1150">
        <f t="shared" ref="O92:P92" si="87">O102/O$23</f>
        <v>0</v>
      </c>
      <c r="P92" s="1150">
        <f t="shared" si="87"/>
        <v>0</v>
      </c>
      <c r="Q92" s="1202">
        <f t="shared" si="84"/>
        <v>0</v>
      </c>
      <c r="R92" s="1150">
        <f t="shared" si="73"/>
        <v>0</v>
      </c>
      <c r="S92" s="1150">
        <f t="shared" si="85"/>
        <v>0</v>
      </c>
      <c r="T92" s="1150">
        <f t="shared" si="85"/>
        <v>0</v>
      </c>
      <c r="U92" s="1150">
        <f t="shared" si="85"/>
        <v>0</v>
      </c>
      <c r="V92" s="1150">
        <f t="shared" si="85"/>
        <v>0</v>
      </c>
      <c r="W92" s="1150">
        <f t="shared" si="85"/>
        <v>0</v>
      </c>
      <c r="X92" s="485"/>
    </row>
    <row r="93" spans="2:24" s="1171" customFormat="1" x14ac:dyDescent="0.3">
      <c r="B93" s="444">
        <v>3.2</v>
      </c>
      <c r="C93" s="378" t="s">
        <v>126</v>
      </c>
      <c r="D93" s="445"/>
      <c r="E93" s="1194"/>
      <c r="F93" s="1193"/>
      <c r="G93" s="1193"/>
      <c r="H93" s="1193"/>
      <c r="I93" s="1194"/>
      <c r="J93" s="1193"/>
      <c r="K93" s="1193"/>
      <c r="L93" s="1193"/>
      <c r="M93" s="1194"/>
      <c r="N93" s="1150"/>
      <c r="O93" s="1150"/>
      <c r="P93" s="1150"/>
      <c r="Q93" s="1150"/>
      <c r="R93" s="1150"/>
      <c r="S93" s="1150"/>
      <c r="T93" s="1150"/>
      <c r="U93" s="1150"/>
      <c r="V93" s="1150"/>
      <c r="W93" s="1150"/>
      <c r="X93" s="485"/>
    </row>
    <row r="94" spans="2:24" s="1171" customFormat="1" x14ac:dyDescent="0.35">
      <c r="B94" s="455" t="s">
        <v>127</v>
      </c>
      <c r="C94" s="377" t="s">
        <v>748</v>
      </c>
      <c r="D94" s="377" t="s">
        <v>897</v>
      </c>
      <c r="E94" s="1151"/>
      <c r="F94" s="1151">
        <f>IFERROR(F104/F$68*1000,0)</f>
        <v>470991.57283070113</v>
      </c>
      <c r="G94" s="1151">
        <v>634567</v>
      </c>
      <c r="H94" s="1150">
        <f t="shared" ref="H94:H112" si="88">G94-F94</f>
        <v>163575.42716929887</v>
      </c>
      <c r="I94" s="610"/>
      <c r="J94" s="1150">
        <f>IFERROR(J104/J$68*1000,0)</f>
        <v>819489.56809065596</v>
      </c>
      <c r="K94" s="1150">
        <v>887644</v>
      </c>
      <c r="L94" s="1150">
        <f t="shared" ref="L94:L102" si="89">K94-J94</f>
        <v>68154.431909344043</v>
      </c>
      <c r="M94" s="610"/>
      <c r="N94" s="1150">
        <f>IFERROR(N104/N$68*1000,0)</f>
        <v>1060878.1614601866</v>
      </c>
      <c r="O94" s="1150">
        <v>459064</v>
      </c>
      <c r="P94" s="1150">
        <v>616022</v>
      </c>
      <c r="Q94" s="1150">
        <f>O94+P94</f>
        <v>1075086</v>
      </c>
      <c r="R94" s="1150">
        <f>Q94-N94</f>
        <v>14207.838539813412</v>
      </c>
      <c r="S94" s="1150">
        <v>1336449.1735537187</v>
      </c>
      <c r="T94" s="1150">
        <v>1336399.1735537187</v>
      </c>
      <c r="U94" s="1150">
        <v>1336399.1735537187</v>
      </c>
      <c r="V94" s="1150">
        <v>1336399.1735537187</v>
      </c>
      <c r="W94" s="1150">
        <v>1336399.1735537187</v>
      </c>
      <c r="X94" s="485"/>
    </row>
    <row r="95" spans="2:24" s="1171" customFormat="1" x14ac:dyDescent="0.35">
      <c r="B95" s="455" t="s">
        <v>128</v>
      </c>
      <c r="C95" s="377" t="s">
        <v>749</v>
      </c>
      <c r="D95" s="377" t="s">
        <v>897</v>
      </c>
      <c r="E95" s="1151"/>
      <c r="F95" s="1151">
        <f>IFERROR(F105/F$68*1000,0)</f>
        <v>58190.450039045463</v>
      </c>
      <c r="G95" s="1151">
        <v>78400</v>
      </c>
      <c r="H95" s="1150">
        <f t="shared" si="88"/>
        <v>20209.549960954537</v>
      </c>
      <c r="I95" s="610"/>
      <c r="J95" s="1150">
        <f>IFERROR(J105/J$68*1000,0)</f>
        <v>0</v>
      </c>
      <c r="K95" s="1150">
        <v>0</v>
      </c>
      <c r="L95" s="1150">
        <f t="shared" si="89"/>
        <v>0</v>
      </c>
      <c r="M95" s="610"/>
      <c r="N95" s="1150">
        <f>IFERROR(N105/N$68*1000,0)</f>
        <v>0</v>
      </c>
      <c r="O95" s="1150">
        <v>0</v>
      </c>
      <c r="P95" s="1150">
        <v>0</v>
      </c>
      <c r="Q95" s="1150">
        <f>O95+P95</f>
        <v>0</v>
      </c>
      <c r="R95" s="1150">
        <f t="shared" ref="R95:R102" si="90">Q95-N95</f>
        <v>0</v>
      </c>
      <c r="S95" s="1150">
        <v>0</v>
      </c>
      <c r="T95" s="1150">
        <v>0</v>
      </c>
      <c r="U95" s="1150">
        <v>0</v>
      </c>
      <c r="V95" s="1150">
        <v>0</v>
      </c>
      <c r="W95" s="1150">
        <v>0</v>
      </c>
      <c r="X95" s="485"/>
    </row>
    <row r="96" spans="2:24" s="1171" customFormat="1" x14ac:dyDescent="0.35">
      <c r="B96" s="455" t="s">
        <v>129</v>
      </c>
      <c r="C96" s="377" t="s">
        <v>856</v>
      </c>
      <c r="D96" s="377" t="s">
        <v>897</v>
      </c>
      <c r="E96" s="1151"/>
      <c r="F96" s="1151">
        <f>IFERROR(F106/F$68*1000,0)</f>
        <v>29363.910515876487</v>
      </c>
      <c r="G96" s="1151">
        <v>39562</v>
      </c>
      <c r="H96" s="1150">
        <f t="shared" si="88"/>
        <v>10198.089484123513</v>
      </c>
      <c r="I96" s="610"/>
      <c r="J96" s="1150">
        <f>IFERROR(J106/J$68*1000,0)</f>
        <v>63358.701296244835</v>
      </c>
      <c r="K96" s="1150">
        <v>68628.05</v>
      </c>
      <c r="L96" s="1150">
        <f t="shared" si="89"/>
        <v>5269.3487037551677</v>
      </c>
      <c r="M96" s="610"/>
      <c r="N96" s="1150">
        <f>IFERROR(N106/N$68*1000,0)</f>
        <v>34097.189509159565</v>
      </c>
      <c r="O96" s="1150">
        <v>0</v>
      </c>
      <c r="P96" s="1150">
        <v>34314.025000000001</v>
      </c>
      <c r="Q96" s="1150">
        <f t="shared" ref="Q96:Q102" si="91">O96+P96</f>
        <v>34314.025000000001</v>
      </c>
      <c r="R96" s="1150">
        <f t="shared" si="90"/>
        <v>216.83549084043625</v>
      </c>
      <c r="S96" s="1150">
        <v>0</v>
      </c>
      <c r="T96" s="1150">
        <v>0</v>
      </c>
      <c r="U96" s="1150">
        <v>0</v>
      </c>
      <c r="V96" s="1150">
        <v>0</v>
      </c>
      <c r="W96" s="1150">
        <v>0</v>
      </c>
      <c r="X96" s="485"/>
    </row>
    <row r="97" spans="2:27" s="1171" customFormat="1" x14ac:dyDescent="0.35">
      <c r="B97" s="455" t="s">
        <v>755</v>
      </c>
      <c r="C97" s="377" t="s">
        <v>1632</v>
      </c>
      <c r="D97" s="377" t="s">
        <v>897</v>
      </c>
      <c r="E97" s="1151"/>
      <c r="F97" s="1151"/>
      <c r="G97" s="1151"/>
      <c r="H97" s="1150"/>
      <c r="I97" s="610"/>
      <c r="J97" s="1150"/>
      <c r="K97" s="1150"/>
      <c r="L97" s="1150"/>
      <c r="M97" s="610"/>
      <c r="N97" s="1150"/>
      <c r="O97" s="1150"/>
      <c r="P97" s="1150"/>
      <c r="Q97" s="1150"/>
      <c r="R97" s="1150"/>
      <c r="S97" s="1150">
        <v>0</v>
      </c>
      <c r="T97" s="1150">
        <v>0</v>
      </c>
      <c r="U97" s="1150">
        <v>0</v>
      </c>
      <c r="V97" s="1150">
        <v>0</v>
      </c>
      <c r="W97" s="1150">
        <v>0</v>
      </c>
      <c r="X97" s="485"/>
    </row>
    <row r="98" spans="2:27" s="1171" customFormat="1" x14ac:dyDescent="0.35">
      <c r="B98" s="455" t="s">
        <v>871</v>
      </c>
      <c r="C98" s="377" t="s">
        <v>1644</v>
      </c>
      <c r="D98" s="377" t="s">
        <v>897</v>
      </c>
      <c r="E98" s="1151"/>
      <c r="F98" s="1151"/>
      <c r="G98" s="1151"/>
      <c r="H98" s="1150"/>
      <c r="I98" s="610"/>
      <c r="J98" s="1150"/>
      <c r="K98" s="1150"/>
      <c r="L98" s="1150"/>
      <c r="M98" s="610"/>
      <c r="N98" s="1150"/>
      <c r="O98" s="1150"/>
      <c r="P98" s="1150"/>
      <c r="Q98" s="1150"/>
      <c r="R98" s="1150"/>
      <c r="S98" s="1150">
        <v>0</v>
      </c>
      <c r="T98" s="1150">
        <v>0</v>
      </c>
      <c r="U98" s="1150">
        <v>0</v>
      </c>
      <c r="V98" s="1150">
        <v>0</v>
      </c>
      <c r="W98" s="1150">
        <v>0</v>
      </c>
      <c r="X98" s="485"/>
    </row>
    <row r="99" spans="2:27" s="1171" customFormat="1" x14ac:dyDescent="0.35">
      <c r="B99" s="455" t="s">
        <v>872</v>
      </c>
      <c r="C99" s="377" t="s">
        <v>750</v>
      </c>
      <c r="D99" s="377" t="s">
        <v>897</v>
      </c>
      <c r="E99" s="1203"/>
      <c r="F99" s="1203">
        <f>F89*F$23</f>
        <v>547.68399436756488</v>
      </c>
      <c r="G99" s="1151">
        <v>2252</v>
      </c>
      <c r="H99" s="1150">
        <f t="shared" si="88"/>
        <v>1704.316005632435</v>
      </c>
      <c r="I99" s="610"/>
      <c r="J99" s="1201">
        <f>J89*J$23</f>
        <v>1071.4496993863327</v>
      </c>
      <c r="K99" s="1150">
        <v>2761</v>
      </c>
      <c r="L99" s="1150">
        <f t="shared" si="89"/>
        <v>1689.5503006136673</v>
      </c>
      <c r="M99" s="610"/>
      <c r="N99" s="1201">
        <f>N89*N$23</f>
        <v>1451.0433137406958</v>
      </c>
      <c r="O99" s="1150">
        <v>2458.5810000000001</v>
      </c>
      <c r="P99" s="1150">
        <v>778.0949464493541</v>
      </c>
      <c r="Q99" s="1150">
        <f>O99+P99</f>
        <v>3236.6759464493543</v>
      </c>
      <c r="R99" s="1150">
        <f t="shared" si="90"/>
        <v>1785.6326327086585</v>
      </c>
      <c r="S99" s="1150">
        <v>1650.3079299133019</v>
      </c>
      <c r="T99" s="1150">
        <v>1650.3079299133019</v>
      </c>
      <c r="U99" s="1150">
        <v>1650.3079299133019</v>
      </c>
      <c r="V99" s="1150">
        <v>1650.3079299133019</v>
      </c>
      <c r="W99" s="1150">
        <v>1650.3079299133019</v>
      </c>
      <c r="X99" s="485"/>
    </row>
    <row r="100" spans="2:27" s="1171" customFormat="1" x14ac:dyDescent="0.35">
      <c r="B100" s="455" t="s">
        <v>873</v>
      </c>
      <c r="C100" s="377" t="s">
        <v>751</v>
      </c>
      <c r="D100" s="377" t="s">
        <v>897</v>
      </c>
      <c r="E100" s="1151"/>
      <c r="F100" s="1151">
        <f>F90*F$23</f>
        <v>454.05240563243495</v>
      </c>
      <c r="G100" s="1151">
        <v>1867</v>
      </c>
      <c r="H100" s="1150">
        <f t="shared" si="88"/>
        <v>1412.947594367565</v>
      </c>
      <c r="I100" s="610"/>
      <c r="J100" s="1150">
        <f>J90*J$23</f>
        <v>351.00630061366769</v>
      </c>
      <c r="K100" s="1150">
        <v>904.50199999999995</v>
      </c>
      <c r="L100" s="1150">
        <f t="shared" si="89"/>
        <v>553.49569938633226</v>
      </c>
      <c r="M100" s="610"/>
      <c r="N100" s="1150">
        <f>N90*N$23</f>
        <v>287.87576131598962</v>
      </c>
      <c r="O100" s="1150">
        <v>387.22800000000001</v>
      </c>
      <c r="P100" s="1150">
        <v>254.90345355064602</v>
      </c>
      <c r="Q100" s="1150">
        <f t="shared" si="91"/>
        <v>642.13145355064603</v>
      </c>
      <c r="R100" s="1150">
        <f t="shared" si="90"/>
        <v>354.25569223465641</v>
      </c>
      <c r="S100" s="1150">
        <v>540.63992148585339</v>
      </c>
      <c r="T100" s="1150">
        <v>540.63992148585339</v>
      </c>
      <c r="U100" s="1150">
        <v>540.63992148585339</v>
      </c>
      <c r="V100" s="1150">
        <v>540.63992148585339</v>
      </c>
      <c r="W100" s="1150">
        <v>540.63992148585339</v>
      </c>
      <c r="X100" s="485"/>
    </row>
    <row r="101" spans="2:27" s="1171" customFormat="1" x14ac:dyDescent="0.35">
      <c r="B101" s="455" t="s">
        <v>1638</v>
      </c>
      <c r="C101" s="377" t="s">
        <v>857</v>
      </c>
      <c r="D101" s="377" t="s">
        <v>897</v>
      </c>
      <c r="E101" s="1151"/>
      <c r="F101" s="1151">
        <f>F91*F$23</f>
        <v>0</v>
      </c>
      <c r="G101" s="1151">
        <v>0</v>
      </c>
      <c r="H101" s="1150">
        <f t="shared" si="88"/>
        <v>0</v>
      </c>
      <c r="I101" s="610"/>
      <c r="J101" s="1150">
        <f>J91*J$23</f>
        <v>0</v>
      </c>
      <c r="K101" s="1150">
        <v>0</v>
      </c>
      <c r="L101" s="1150">
        <f t="shared" si="89"/>
        <v>0</v>
      </c>
      <c r="M101" s="610"/>
      <c r="N101" s="1150">
        <f>N91*N$23</f>
        <v>0</v>
      </c>
      <c r="O101" s="1150">
        <v>0</v>
      </c>
      <c r="P101" s="1150">
        <v>0</v>
      </c>
      <c r="Q101" s="1150">
        <f t="shared" si="91"/>
        <v>0</v>
      </c>
      <c r="R101" s="1150">
        <f t="shared" si="90"/>
        <v>0</v>
      </c>
      <c r="S101" s="1150">
        <v>0</v>
      </c>
      <c r="T101" s="1150">
        <v>0</v>
      </c>
      <c r="U101" s="1150">
        <v>0</v>
      </c>
      <c r="V101" s="1150">
        <v>0</v>
      </c>
      <c r="W101" s="1150">
        <v>0</v>
      </c>
      <c r="X101" s="485"/>
    </row>
    <row r="102" spans="2:27" s="1171" customFormat="1" x14ac:dyDescent="0.35">
      <c r="B102" s="455" t="s">
        <v>1639</v>
      </c>
      <c r="C102" s="377" t="s">
        <v>858</v>
      </c>
      <c r="D102" s="377" t="s">
        <v>897</v>
      </c>
      <c r="E102" s="1151"/>
      <c r="F102" s="1151">
        <f>F92*F$23</f>
        <v>0</v>
      </c>
      <c r="G102" s="1151">
        <v>0</v>
      </c>
      <c r="H102" s="1150">
        <f t="shared" si="88"/>
        <v>0</v>
      </c>
      <c r="I102" s="610"/>
      <c r="J102" s="1150">
        <f>J92*J$23</f>
        <v>0</v>
      </c>
      <c r="K102" s="1150">
        <v>0</v>
      </c>
      <c r="L102" s="1150">
        <f t="shared" si="89"/>
        <v>0</v>
      </c>
      <c r="M102" s="610"/>
      <c r="N102" s="1150">
        <f>N92*N$23</f>
        <v>0</v>
      </c>
      <c r="O102" s="1150">
        <v>0</v>
      </c>
      <c r="P102" s="1150">
        <v>0</v>
      </c>
      <c r="Q102" s="1150">
        <f t="shared" si="91"/>
        <v>0</v>
      </c>
      <c r="R102" s="1150">
        <f t="shared" si="90"/>
        <v>0</v>
      </c>
      <c r="S102" s="1150">
        <v>0</v>
      </c>
      <c r="T102" s="1150">
        <v>0</v>
      </c>
      <c r="U102" s="1150">
        <v>0</v>
      </c>
      <c r="V102" s="1150">
        <v>0</v>
      </c>
      <c r="W102" s="1150">
        <v>0</v>
      </c>
      <c r="X102" s="485"/>
    </row>
    <row r="103" spans="2:27" s="1171" customFormat="1" ht="30" x14ac:dyDescent="0.3">
      <c r="B103" s="444">
        <v>3.3</v>
      </c>
      <c r="C103" s="378" t="s">
        <v>130</v>
      </c>
      <c r="D103" s="445"/>
      <c r="E103" s="1194"/>
      <c r="F103" s="1193"/>
      <c r="G103" s="1193"/>
      <c r="H103" s="1193"/>
      <c r="I103" s="1194"/>
      <c r="J103" s="1193"/>
      <c r="K103" s="1193"/>
      <c r="L103" s="1193"/>
      <c r="M103" s="1194"/>
      <c r="N103" s="1150"/>
      <c r="O103" s="1150"/>
      <c r="P103" s="1150"/>
      <c r="Q103" s="1150"/>
      <c r="R103" s="1150"/>
      <c r="S103" s="1150"/>
      <c r="T103" s="1150"/>
      <c r="U103" s="1150"/>
      <c r="V103" s="1150"/>
      <c r="W103" s="1150"/>
      <c r="X103" s="485"/>
    </row>
    <row r="104" spans="2:27" s="1171" customFormat="1" x14ac:dyDescent="0.35">
      <c r="B104" s="455" t="s">
        <v>131</v>
      </c>
      <c r="C104" s="377" t="s">
        <v>748</v>
      </c>
      <c r="D104" s="377" t="s">
        <v>132</v>
      </c>
      <c r="E104" s="1191"/>
      <c r="F104" s="1191">
        <f>(F$113-SUM(F$109:F$112))*G104/SUM(G$104:G$106)</f>
        <v>1673163.4634950624</v>
      </c>
      <c r="G104" s="1150">
        <f>G94*G$68/1000</f>
        <v>1826754.556113557</v>
      </c>
      <c r="H104" s="1150">
        <f t="shared" si="88"/>
        <v>153591.09261849453</v>
      </c>
      <c r="I104" s="610"/>
      <c r="J104" s="1189">
        <f>(J$113-SUM(J$109:J$112))*K104/SUM(K$104:K$106)</f>
        <v>2615603.1531274747</v>
      </c>
      <c r="K104" s="1150">
        <f>K94*K$68/1000</f>
        <v>2700567.0018911636</v>
      </c>
      <c r="L104" s="1150">
        <f t="shared" ref="L104:L112" si="92">K104-J104</f>
        <v>84963.848763688933</v>
      </c>
      <c r="M104" s="610"/>
      <c r="N104" s="1189">
        <f>(N$113-SUM(N$109:N$112))*Q104/SUM(Q$104:Q$106)</f>
        <v>3337376.5275515062</v>
      </c>
      <c r="O104" s="1189">
        <f t="shared" ref="O104:P106" si="93">O94*O$68/1000</f>
        <v>1420095.925</v>
      </c>
      <c r="P104" s="1189">
        <f>P94*P$68/1000</f>
        <v>1937124.0331761497</v>
      </c>
      <c r="Q104" s="1189">
        <f>SUM(O104:P104)</f>
        <v>3357219.95817615</v>
      </c>
      <c r="R104" s="1150">
        <f>Q104-N104</f>
        <v>19843.430624643806</v>
      </c>
      <c r="S104" s="1150">
        <f t="shared" ref="S104:W108" si="94">S94*S$68/1000</f>
        <v>4081666.6414598147</v>
      </c>
      <c r="T104" s="1150">
        <f t="shared" si="94"/>
        <v>4081513.9358155509</v>
      </c>
      <c r="U104" s="1150">
        <f t="shared" si="94"/>
        <v>4081513.9358155509</v>
      </c>
      <c r="V104" s="1150">
        <f t="shared" si="94"/>
        <v>4081513.9358155509</v>
      </c>
      <c r="W104" s="1150">
        <f t="shared" si="94"/>
        <v>4081513.9358155509</v>
      </c>
      <c r="X104" s="490"/>
      <c r="Y104" s="1237"/>
      <c r="Z104" s="1237"/>
      <c r="AA104" s="1237"/>
    </row>
    <row r="105" spans="2:27" s="1171" customFormat="1" x14ac:dyDescent="0.35">
      <c r="B105" s="455" t="s">
        <v>133</v>
      </c>
      <c r="C105" s="377" t="s">
        <v>749</v>
      </c>
      <c r="D105" s="377" t="s">
        <v>132</v>
      </c>
      <c r="E105" s="1191"/>
      <c r="F105" s="1191">
        <f>(F$113-SUM(F$109:F$112))*G105/SUM(G$104:G$106)</f>
        <v>206717.36087444334</v>
      </c>
      <c r="G105" s="1150">
        <f>G95*G$68/1000</f>
        <v>225693.35814705596</v>
      </c>
      <c r="H105" s="1150">
        <f t="shared" si="88"/>
        <v>18975.997272612614</v>
      </c>
      <c r="I105" s="610"/>
      <c r="J105" s="1189">
        <f>(J$113-SUM(J$109:J$112))*K105/SUM(K$104:K$106)</f>
        <v>0</v>
      </c>
      <c r="K105" s="1150">
        <f>K95*K$68/1000</f>
        <v>0</v>
      </c>
      <c r="L105" s="1150">
        <f t="shared" si="92"/>
        <v>0</v>
      </c>
      <c r="M105" s="610"/>
      <c r="N105" s="1189">
        <f>(N$113-SUM(N$109:N$112))*Q105/SUM(Q$104:Q$106)</f>
        <v>0</v>
      </c>
      <c r="O105" s="1189">
        <f t="shared" si="93"/>
        <v>0</v>
      </c>
      <c r="P105" s="1189">
        <f t="shared" si="93"/>
        <v>0</v>
      </c>
      <c r="Q105" s="1189">
        <f>O105+P105</f>
        <v>0</v>
      </c>
      <c r="R105" s="1150">
        <f>Q105-N105</f>
        <v>0</v>
      </c>
      <c r="S105" s="1150">
        <f>S95*S$69/1000</f>
        <v>0</v>
      </c>
      <c r="T105" s="1150">
        <f>T95*T$69/1000</f>
        <v>0</v>
      </c>
      <c r="U105" s="1150">
        <f>U95*U$69/1000</f>
        <v>0</v>
      </c>
      <c r="V105" s="1150">
        <f>V95*V$69/1000</f>
        <v>0</v>
      </c>
      <c r="W105" s="1150">
        <f>W95*W$69/1000</f>
        <v>0</v>
      </c>
      <c r="X105" s="490"/>
      <c r="Y105" s="1237"/>
      <c r="Z105" s="1237"/>
      <c r="AA105" s="1237"/>
    </row>
    <row r="106" spans="2:27" s="1171" customFormat="1" x14ac:dyDescent="0.35">
      <c r="B106" s="455" t="s">
        <v>134</v>
      </c>
      <c r="C106" s="377" t="s">
        <v>856</v>
      </c>
      <c r="D106" s="377" t="s">
        <v>132</v>
      </c>
      <c r="E106" s="1191"/>
      <c r="F106" s="1191">
        <f>(F$113-SUM(F$109:F$112))*G106/SUM(G$104:G$106)</f>
        <v>104313.16621064703</v>
      </c>
      <c r="G106" s="1150">
        <f>G96*G$68/1000</f>
        <v>113888.78360987025</v>
      </c>
      <c r="H106" s="1150">
        <f t="shared" si="88"/>
        <v>9575.6173992232216</v>
      </c>
      <c r="I106" s="610"/>
      <c r="J106" s="1189">
        <f>(J$113-SUM(J$109:J$112))*K106/SUM(K$104:K$106)</f>
        <v>202224.92798125153</v>
      </c>
      <c r="K106" s="1150">
        <f>K96*K$68/1000</f>
        <v>208793.89398693273</v>
      </c>
      <c r="L106" s="1150">
        <f t="shared" si="92"/>
        <v>6568.966005681199</v>
      </c>
      <c r="M106" s="610"/>
      <c r="N106" s="1189">
        <f>(N$113-SUM(N$109:N$112))*Q106/SUM(Q$104:Q$106)</f>
        <v>107265.06026546683</v>
      </c>
      <c r="O106" s="1189">
        <f t="shared" si="93"/>
        <v>0</v>
      </c>
      <c r="P106" s="1189">
        <f t="shared" si="93"/>
        <v>107902.83870138928</v>
      </c>
      <c r="Q106" s="1189">
        <f t="shared" ref="Q106:Q112" si="95">O106+P106</f>
        <v>107902.83870138928</v>
      </c>
      <c r="R106" s="1150">
        <f>Q106-N106</f>
        <v>637.77843592244608</v>
      </c>
      <c r="S106" s="1150">
        <f t="shared" si="94"/>
        <v>0</v>
      </c>
      <c r="T106" s="1150">
        <f t="shared" si="94"/>
        <v>0</v>
      </c>
      <c r="U106" s="1150">
        <f t="shared" si="94"/>
        <v>0</v>
      </c>
      <c r="V106" s="1150">
        <f t="shared" si="94"/>
        <v>0</v>
      </c>
      <c r="W106" s="1150">
        <f t="shared" si="94"/>
        <v>0</v>
      </c>
      <c r="X106" s="490"/>
      <c r="Y106" s="1237"/>
      <c r="Z106" s="1237"/>
      <c r="AA106" s="1237"/>
    </row>
    <row r="107" spans="2:27" s="1171" customFormat="1" x14ac:dyDescent="0.35">
      <c r="B107" s="455" t="s">
        <v>756</v>
      </c>
      <c r="C107" s="377" t="s">
        <v>1632</v>
      </c>
      <c r="D107" s="377" t="s">
        <v>132</v>
      </c>
      <c r="E107" s="1191"/>
      <c r="F107" s="1191"/>
      <c r="G107" s="1150"/>
      <c r="H107" s="1150"/>
      <c r="I107" s="610"/>
      <c r="J107" s="1189"/>
      <c r="K107" s="1150"/>
      <c r="L107" s="1150"/>
      <c r="M107" s="610"/>
      <c r="N107" s="1189">
        <f>(N$113-SUM(N$109:N$112))*Q107/SUM(Q$104:Q$106)</f>
        <v>0</v>
      </c>
      <c r="O107" s="1189"/>
      <c r="P107" s="1189"/>
      <c r="Q107" s="1189"/>
      <c r="R107" s="1150"/>
      <c r="S107" s="1150">
        <f t="shared" si="94"/>
        <v>0</v>
      </c>
      <c r="T107" s="1150">
        <f t="shared" si="94"/>
        <v>0</v>
      </c>
      <c r="U107" s="1150">
        <f t="shared" si="94"/>
        <v>0</v>
      </c>
      <c r="V107" s="1150">
        <f>V97*V$68/1000</f>
        <v>0</v>
      </c>
      <c r="W107" s="1150">
        <f t="shared" si="94"/>
        <v>0</v>
      </c>
      <c r="X107" s="490"/>
      <c r="Y107" s="1237"/>
      <c r="Z107" s="1237"/>
      <c r="AA107" s="1237"/>
    </row>
    <row r="108" spans="2:27" s="1171" customFormat="1" x14ac:dyDescent="0.35">
      <c r="B108" s="455" t="s">
        <v>874</v>
      </c>
      <c r="C108" s="377" t="s">
        <v>1644</v>
      </c>
      <c r="D108" s="377" t="s">
        <v>132</v>
      </c>
      <c r="E108" s="1191"/>
      <c r="F108" s="1191"/>
      <c r="G108" s="1150"/>
      <c r="H108" s="1150"/>
      <c r="I108" s="610"/>
      <c r="J108" s="1189"/>
      <c r="K108" s="1150"/>
      <c r="L108" s="1150"/>
      <c r="M108" s="610"/>
      <c r="N108" s="1189">
        <f>(N$113-SUM(N$109:N$112))*Q108/SUM(Q$104:Q$106)</f>
        <v>0</v>
      </c>
      <c r="O108" s="1189"/>
      <c r="P108" s="1189"/>
      <c r="Q108" s="1189"/>
      <c r="R108" s="1150"/>
      <c r="S108" s="1150">
        <f t="shared" si="94"/>
        <v>0</v>
      </c>
      <c r="T108" s="1150">
        <f t="shared" si="94"/>
        <v>0</v>
      </c>
      <c r="U108" s="1150">
        <f t="shared" si="94"/>
        <v>0</v>
      </c>
      <c r="V108" s="1150">
        <f t="shared" si="94"/>
        <v>0</v>
      </c>
      <c r="W108" s="1150">
        <f t="shared" si="94"/>
        <v>0</v>
      </c>
      <c r="X108" s="490"/>
      <c r="Y108" s="1237"/>
      <c r="Z108" s="1237"/>
      <c r="AA108" s="1237"/>
    </row>
    <row r="109" spans="2:27" s="1171" customFormat="1" x14ac:dyDescent="0.35">
      <c r="B109" s="455" t="s">
        <v>875</v>
      </c>
      <c r="C109" s="377" t="s">
        <v>750</v>
      </c>
      <c r="D109" s="377" t="s">
        <v>132</v>
      </c>
      <c r="E109" s="1204"/>
      <c r="F109" s="1204">
        <f>F99*F63/1000*0.933</f>
        <v>5506.4192608434523</v>
      </c>
      <c r="G109" s="1150">
        <f>G99*G63/1000*0.933</f>
        <v>22641.626016000002</v>
      </c>
      <c r="H109" s="1150">
        <f t="shared" si="88"/>
        <v>17135.206755156549</v>
      </c>
      <c r="I109" s="610"/>
      <c r="J109" s="1189">
        <f>J99*J63/1000*0.933</f>
        <v>10548.522738867763</v>
      </c>
      <c r="K109" s="1150">
        <f>K99*K63/1000*0.933</f>
        <v>27182.303843750004</v>
      </c>
      <c r="L109" s="1150">
        <f t="shared" si="92"/>
        <v>16633.78110488224</v>
      </c>
      <c r="M109" s="610"/>
      <c r="N109" s="1189">
        <f>N99*N63/1000*0.933</f>
        <v>14297.912142953417</v>
      </c>
      <c r="O109" s="1189">
        <f>O99*O63/1000*0.933</f>
        <v>24232.295555172001</v>
      </c>
      <c r="P109" s="1189">
        <f>P99*P63/1000*0.933</f>
        <v>7660.4176941951218</v>
      </c>
      <c r="Q109" s="1189">
        <f t="shared" si="95"/>
        <v>31892.713249367123</v>
      </c>
      <c r="R109" s="1150">
        <f>Q109-N109</f>
        <v>17594.801106413706</v>
      </c>
      <c r="S109" s="1150">
        <f>S99*S63/1000*0.933</f>
        <v>16247.436286364889</v>
      </c>
      <c r="T109" s="1150">
        <f>T99*T63/1000*0.933</f>
        <v>16247.436286364889</v>
      </c>
      <c r="U109" s="1150">
        <f>U99*U63/1000*0.933</f>
        <v>16247.436286364889</v>
      </c>
      <c r="V109" s="1150">
        <f>V99*V63/1000*0.933</f>
        <v>16247.436286364889</v>
      </c>
      <c r="W109" s="1150">
        <f>W99*W63/1000*0.933</f>
        <v>16247.436286364889</v>
      </c>
      <c r="X109" s="490"/>
      <c r="Y109" s="1237"/>
      <c r="Z109" s="1237"/>
      <c r="AA109" s="1237"/>
    </row>
    <row r="110" spans="2:27" s="1171" customFormat="1" x14ac:dyDescent="0.35">
      <c r="B110" s="455" t="s">
        <v>876</v>
      </c>
      <c r="C110" s="377" t="s">
        <v>751</v>
      </c>
      <c r="D110" s="377" t="s">
        <v>132</v>
      </c>
      <c r="E110" s="1150"/>
      <c r="F110" s="1150">
        <f>F100*F64/1000*0.853</f>
        <v>4470.5521590035605</v>
      </c>
      <c r="G110" s="1150">
        <f>G100*G64/1000*0.853</f>
        <v>18382.285342666662</v>
      </c>
      <c r="H110" s="1150">
        <f t="shared" si="88"/>
        <v>13911.733183663102</v>
      </c>
      <c r="I110" s="610"/>
      <c r="J110" s="1189">
        <f>J100*J64/1000*0.853</f>
        <v>3326.8761524062593</v>
      </c>
      <c r="K110" s="1150">
        <f>K100*K64/1000*0.853</f>
        <v>8572.9689989689996</v>
      </c>
      <c r="L110" s="1150">
        <f t="shared" si="92"/>
        <v>5246.0928465627403</v>
      </c>
      <c r="M110" s="610"/>
      <c r="N110" s="1189">
        <f>N100*N64/1000*0.853</f>
        <v>2751.5444564894415</v>
      </c>
      <c r="O110" s="1189">
        <f>O100*O64/1000*0.853</f>
        <v>3721.5518882279998</v>
      </c>
      <c r="P110" s="1189">
        <f>P100*P64/1000*0.853</f>
        <v>2416.0028446811866</v>
      </c>
      <c r="Q110" s="1189">
        <f t="shared" si="95"/>
        <v>6137.554732909186</v>
      </c>
      <c r="R110" s="1150">
        <f>Q110-N110</f>
        <v>3386.0102764197445</v>
      </c>
      <c r="S110" s="1150">
        <f>S100*S64/1000*0.853</f>
        <v>5124.2443759143207</v>
      </c>
      <c r="T110" s="1150">
        <f>T100*T64/1000*0.853</f>
        <v>5124.2443759143207</v>
      </c>
      <c r="U110" s="1150">
        <f>U100*U64/1000*0.853</f>
        <v>5124.2443759143207</v>
      </c>
      <c r="V110" s="1150">
        <f>V100*V64/1000*0.853</f>
        <v>5124.2443759143207</v>
      </c>
      <c r="W110" s="1150">
        <f>W100*W64/1000*0.853</f>
        <v>5124.2443759143207</v>
      </c>
      <c r="X110" s="490"/>
      <c r="Y110" s="1237"/>
      <c r="Z110" s="1237"/>
      <c r="AA110" s="1237"/>
    </row>
    <row r="111" spans="2:27" s="1171" customFormat="1" x14ac:dyDescent="0.35">
      <c r="B111" s="455" t="s">
        <v>1640</v>
      </c>
      <c r="C111" s="377" t="s">
        <v>857</v>
      </c>
      <c r="D111" s="377" t="s">
        <v>132</v>
      </c>
      <c r="E111" s="1150"/>
      <c r="F111" s="1150">
        <f>F101*F65/1000</f>
        <v>0</v>
      </c>
      <c r="G111" s="1150">
        <f>G101*G65/1000</f>
        <v>0</v>
      </c>
      <c r="H111" s="1150">
        <f t="shared" si="88"/>
        <v>0</v>
      </c>
      <c r="I111" s="610"/>
      <c r="J111" s="1189">
        <f>J101*J65/1000</f>
        <v>0</v>
      </c>
      <c r="K111" s="1150">
        <f>K101*K65/1000</f>
        <v>0</v>
      </c>
      <c r="L111" s="1150">
        <f t="shared" si="92"/>
        <v>0</v>
      </c>
      <c r="M111" s="610"/>
      <c r="N111" s="1189">
        <f t="shared" ref="N111:P112" si="96">N101*N65/1000</f>
        <v>0</v>
      </c>
      <c r="O111" s="1189">
        <f t="shared" si="96"/>
        <v>0</v>
      </c>
      <c r="P111" s="1189">
        <f t="shared" si="96"/>
        <v>0</v>
      </c>
      <c r="Q111" s="1189">
        <f t="shared" si="95"/>
        <v>0</v>
      </c>
      <c r="R111" s="1150">
        <f t="shared" ref="R111:R112" si="97">Q111-N111</f>
        <v>0</v>
      </c>
      <c r="S111" s="1150">
        <f t="shared" ref="S111:W112" si="98">S101*S65/1000</f>
        <v>0</v>
      </c>
      <c r="T111" s="1150">
        <f t="shared" si="98"/>
        <v>0</v>
      </c>
      <c r="U111" s="1150">
        <f t="shared" si="98"/>
        <v>0</v>
      </c>
      <c r="V111" s="1150">
        <f t="shared" si="98"/>
        <v>0</v>
      </c>
      <c r="W111" s="1150">
        <f t="shared" si="98"/>
        <v>0</v>
      </c>
      <c r="X111" s="490"/>
      <c r="Y111" s="1237"/>
      <c r="Z111" s="1237"/>
      <c r="AA111" s="1237"/>
    </row>
    <row r="112" spans="2:27" s="1171" customFormat="1" x14ac:dyDescent="0.35">
      <c r="B112" s="455" t="s">
        <v>1641</v>
      </c>
      <c r="C112" s="377" t="s">
        <v>858</v>
      </c>
      <c r="D112" s="377" t="s">
        <v>132</v>
      </c>
      <c r="E112" s="1150"/>
      <c r="F112" s="1150">
        <f>F102*F66/1000</f>
        <v>0</v>
      </c>
      <c r="G112" s="1150">
        <f>G102*G66/1000</f>
        <v>0</v>
      </c>
      <c r="H112" s="1150">
        <f t="shared" si="88"/>
        <v>0</v>
      </c>
      <c r="I112" s="610"/>
      <c r="J112" s="1189">
        <f>J102*J66/1000</f>
        <v>0</v>
      </c>
      <c r="K112" s="1150">
        <f>K102*K66/1000</f>
        <v>0</v>
      </c>
      <c r="L112" s="1150">
        <f t="shared" si="92"/>
        <v>0</v>
      </c>
      <c r="M112" s="610"/>
      <c r="N112" s="1189">
        <f t="shared" si="96"/>
        <v>0</v>
      </c>
      <c r="O112" s="1189">
        <f t="shared" si="96"/>
        <v>0</v>
      </c>
      <c r="P112" s="1189">
        <f t="shared" si="96"/>
        <v>0</v>
      </c>
      <c r="Q112" s="1189">
        <f t="shared" si="95"/>
        <v>0</v>
      </c>
      <c r="R112" s="1150">
        <f t="shared" si="97"/>
        <v>0</v>
      </c>
      <c r="S112" s="1150">
        <f t="shared" si="98"/>
        <v>0</v>
      </c>
      <c r="T112" s="1150">
        <f t="shared" si="98"/>
        <v>0</v>
      </c>
      <c r="U112" s="1150">
        <f t="shared" si="98"/>
        <v>0</v>
      </c>
      <c r="V112" s="1150">
        <f t="shared" si="98"/>
        <v>0</v>
      </c>
      <c r="W112" s="1150">
        <f t="shared" si="98"/>
        <v>0</v>
      </c>
      <c r="X112" s="490"/>
      <c r="Y112" s="1237"/>
      <c r="Z112" s="1237"/>
      <c r="AA112" s="1237"/>
    </row>
    <row r="113" spans="2:24" s="1184" customFormat="1" x14ac:dyDescent="0.3">
      <c r="B113" s="444"/>
      <c r="C113" s="378" t="s">
        <v>376</v>
      </c>
      <c r="D113" s="378" t="s">
        <v>132</v>
      </c>
      <c r="E113" s="1150"/>
      <c r="F113" s="1150">
        <f>F23*F39</f>
        <v>1994170.9619999998</v>
      </c>
      <c r="G113" s="1150">
        <f>SUM(G104:G112)</f>
        <v>2207360.6092291498</v>
      </c>
      <c r="H113" s="1150">
        <f>SUM(H104:H112)</f>
        <v>213189.64722915002</v>
      </c>
      <c r="I113" s="610"/>
      <c r="J113" s="1189">
        <f>J23*J39</f>
        <v>2831703.4800000004</v>
      </c>
      <c r="K113" s="1150">
        <f>SUM(K104:K112)</f>
        <v>2945116.1687208158</v>
      </c>
      <c r="L113" s="1150">
        <f>SUM(L104:L112)</f>
        <v>113412.68872081512</v>
      </c>
      <c r="M113" s="610"/>
      <c r="N113" s="1189">
        <f>N23*N39</f>
        <v>3461691.0444164155</v>
      </c>
      <c r="O113" s="1189">
        <f>SUM(O104:O112)</f>
        <v>1448049.7724434</v>
      </c>
      <c r="P113" s="1189">
        <f>SUM(P104:P112)</f>
        <v>2055103.2924164154</v>
      </c>
      <c r="Q113" s="1189">
        <f t="shared" ref="Q113:R113" si="99">SUM(Q104:Q112)</f>
        <v>3503153.0648598154</v>
      </c>
      <c r="R113" s="1150">
        <f t="shared" si="99"/>
        <v>41462.020443399706</v>
      </c>
      <c r="S113" s="1150">
        <f>SUM(S104:S112)</f>
        <v>4103038.3221220938</v>
      </c>
      <c r="T113" s="1150">
        <f>SUM(T104:T112)</f>
        <v>4102885.6164778299</v>
      </c>
      <c r="U113" s="1150">
        <f>SUM(U104:U112)</f>
        <v>4102885.6164778299</v>
      </c>
      <c r="V113" s="1150">
        <f>SUM(V104:V112)</f>
        <v>4102885.6164778299</v>
      </c>
      <c r="W113" s="1150">
        <f>SUM(W104:W112)</f>
        <v>4102885.6164778299</v>
      </c>
      <c r="X113" s="486"/>
    </row>
    <row r="114" spans="2:24" s="1171" customFormat="1" x14ac:dyDescent="0.3">
      <c r="B114" s="444"/>
      <c r="C114" s="378"/>
      <c r="D114" s="445"/>
      <c r="E114" s="1194"/>
      <c r="F114" s="1193"/>
      <c r="G114" s="1193"/>
      <c r="H114" s="1193"/>
      <c r="I114" s="1194"/>
      <c r="J114" s="1193"/>
      <c r="K114" s="1193"/>
      <c r="L114" s="1193"/>
      <c r="M114" s="1194"/>
      <c r="N114" s="1150"/>
      <c r="O114" s="1150"/>
      <c r="P114" s="1150"/>
      <c r="Q114" s="1150"/>
      <c r="R114" s="1150"/>
      <c r="S114" s="1150"/>
      <c r="T114" s="1150"/>
      <c r="U114" s="1150"/>
      <c r="V114" s="1150"/>
      <c r="W114" s="1150"/>
      <c r="X114" s="485"/>
    </row>
    <row r="115" spans="2:24" s="1171" customFormat="1" x14ac:dyDescent="0.3">
      <c r="B115" s="444">
        <v>4</v>
      </c>
      <c r="C115" s="378" t="s">
        <v>135</v>
      </c>
      <c r="D115" s="445"/>
      <c r="E115" s="1194"/>
      <c r="F115" s="1193"/>
      <c r="G115" s="1193"/>
      <c r="H115" s="1193"/>
      <c r="I115" s="1194"/>
      <c r="J115" s="1193"/>
      <c r="K115" s="1193"/>
      <c r="L115" s="1193"/>
      <c r="M115" s="1194"/>
      <c r="N115" s="1150"/>
      <c r="O115" s="1150"/>
      <c r="P115" s="1150"/>
      <c r="Q115" s="1150"/>
      <c r="R115" s="1150"/>
      <c r="S115" s="1150"/>
      <c r="T115" s="1150"/>
      <c r="U115" s="1150"/>
      <c r="V115" s="1150"/>
      <c r="W115" s="1150"/>
      <c r="X115" s="485"/>
    </row>
    <row r="116" spans="2:24" s="1171" customFormat="1" x14ac:dyDescent="0.35">
      <c r="B116" s="455" t="s">
        <v>877</v>
      </c>
      <c r="C116" s="377" t="s">
        <v>748</v>
      </c>
      <c r="D116" s="377" t="s">
        <v>136</v>
      </c>
      <c r="E116" s="1150"/>
      <c r="F116" s="1150">
        <f t="shared" ref="F116:G118" si="100">F94*F73/10^7</f>
        <v>196.22290540690054</v>
      </c>
      <c r="G116" s="1150">
        <f t="shared" si="100"/>
        <v>264.55002496931047</v>
      </c>
      <c r="H116" s="1150">
        <f>G116-F116</f>
        <v>68.327119562409933</v>
      </c>
      <c r="I116" s="610"/>
      <c r="J116" s="1150">
        <f>J94*J73/10^7</f>
        <v>378.37495928581478</v>
      </c>
      <c r="K116" s="1150">
        <f>K94*K73/10^7</f>
        <v>411.02401669999995</v>
      </c>
      <c r="L116" s="1150">
        <f>K116-J116</f>
        <v>32.649057414185165</v>
      </c>
      <c r="M116" s="610"/>
      <c r="N116" s="1150">
        <f>N94*N73/10^7</f>
        <v>505.73894012785604</v>
      </c>
      <c r="O116" s="1150">
        <f>O94*O73/10^7</f>
        <v>227.26275404489121</v>
      </c>
      <c r="P116" s="1150">
        <f>P94*P73/10^7</f>
        <v>285.24930807347022</v>
      </c>
      <c r="Q116" s="1150">
        <f>O116+P116</f>
        <v>512.51206211836143</v>
      </c>
      <c r="R116" s="1150">
        <f t="shared" ref="R116:R124" si="101">Q116-N116</f>
        <v>6.7731219905053877</v>
      </c>
      <c r="S116" s="1150">
        <f>S94*S73/10^7</f>
        <v>690.57398478088612</v>
      </c>
      <c r="T116" s="1150">
        <f>T94*T73/10^7</f>
        <v>725.07555606406174</v>
      </c>
      <c r="U116" s="1150">
        <f t="shared" ref="U116:W116" si="102">U94*U73/10^7</f>
        <v>761.32933386726495</v>
      </c>
      <c r="V116" s="1150">
        <f t="shared" si="102"/>
        <v>799.39580056062835</v>
      </c>
      <c r="W116" s="1150">
        <f t="shared" si="102"/>
        <v>839.36559058865964</v>
      </c>
      <c r="X116" s="485"/>
    </row>
    <row r="117" spans="2:24" s="1171" customFormat="1" x14ac:dyDescent="0.35">
      <c r="B117" s="455" t="s">
        <v>878</v>
      </c>
      <c r="C117" s="377" t="s">
        <v>749</v>
      </c>
      <c r="D117" s="377" t="s">
        <v>136</v>
      </c>
      <c r="E117" s="1150"/>
      <c r="F117" s="1150">
        <f t="shared" si="100"/>
        <v>92.405326872876728</v>
      </c>
      <c r="G117" s="1150">
        <f t="shared" si="100"/>
        <v>124.49770747558175</v>
      </c>
      <c r="H117" s="1150">
        <f>G117-F117</f>
        <v>32.09238060270502</v>
      </c>
      <c r="I117" s="610"/>
      <c r="J117" s="1150">
        <f t="shared" ref="J117:K117" si="103">J95*J74/10^7</f>
        <v>0</v>
      </c>
      <c r="K117" s="1150">
        <f t="shared" si="103"/>
        <v>0</v>
      </c>
      <c r="L117" s="1150">
        <f>K117-J117</f>
        <v>0</v>
      </c>
      <c r="M117" s="610"/>
      <c r="N117" s="1150">
        <f t="shared" ref="N117:O117" si="104">N95*N74/10^7</f>
        <v>0</v>
      </c>
      <c r="O117" s="1150">
        <f t="shared" si="104"/>
        <v>0</v>
      </c>
      <c r="P117" s="1150">
        <f t="shared" ref="P117" si="105">P95*P74/10^7</f>
        <v>0</v>
      </c>
      <c r="Q117" s="1150">
        <f t="shared" ref="Q117:Q124" si="106">O117+P117</f>
        <v>0</v>
      </c>
      <c r="R117" s="1150">
        <f t="shared" si="101"/>
        <v>0</v>
      </c>
      <c r="S117" s="1150">
        <f t="shared" ref="S117" si="107">S95*S74/10^7</f>
        <v>0</v>
      </c>
      <c r="T117" s="1150">
        <f t="shared" ref="T117:W117" si="108">T95*T74/10^7</f>
        <v>0</v>
      </c>
      <c r="U117" s="1150">
        <f t="shared" si="108"/>
        <v>0</v>
      </c>
      <c r="V117" s="1150">
        <f t="shared" si="108"/>
        <v>0</v>
      </c>
      <c r="W117" s="1150">
        <f t="shared" si="108"/>
        <v>0</v>
      </c>
      <c r="X117" s="485"/>
    </row>
    <row r="118" spans="2:24" s="1171" customFormat="1" x14ac:dyDescent="0.35">
      <c r="B118" s="455" t="s">
        <v>879</v>
      </c>
      <c r="C118" s="377" t="s">
        <v>856</v>
      </c>
      <c r="D118" s="377" t="s">
        <v>136</v>
      </c>
      <c r="E118" s="1150"/>
      <c r="F118" s="1150">
        <f t="shared" si="100"/>
        <v>12.808735605453482</v>
      </c>
      <c r="G118" s="1150">
        <f t="shared" si="100"/>
        <v>17.257210947736908</v>
      </c>
      <c r="H118" s="1150">
        <f>G118-F118</f>
        <v>4.4484753422834267</v>
      </c>
      <c r="I118" s="610"/>
      <c r="J118" s="1150">
        <f>J96*J75/10^7</f>
        <v>28.658637480229359</v>
      </c>
      <c r="K118" s="1150">
        <f t="shared" ref="K118" si="109">K96*K75/10^7</f>
        <v>31.042088390180165</v>
      </c>
      <c r="L118" s="1150">
        <f>K118-J118</f>
        <v>2.3834509099508061</v>
      </c>
      <c r="M118" s="610"/>
      <c r="N118" s="1150">
        <f>N96*N75/10^7</f>
        <v>15.422964379726002</v>
      </c>
      <c r="O118" s="1150">
        <f t="shared" ref="O118" si="110">O96*O75/10^7</f>
        <v>0</v>
      </c>
      <c r="P118" s="1150">
        <f t="shared" ref="P118" si="111">P96*P75/10^7</f>
        <v>15.521044195090083</v>
      </c>
      <c r="Q118" s="1150">
        <f>O118+P118</f>
        <v>15.521044195090083</v>
      </c>
      <c r="R118" s="1150">
        <f t="shared" si="101"/>
        <v>9.8079815364080503E-2</v>
      </c>
      <c r="S118" s="1150">
        <f t="shared" ref="S118:W120" si="112">S96*S75/10^7</f>
        <v>0</v>
      </c>
      <c r="T118" s="1150">
        <f t="shared" ref="T118:W118" si="113">T96*T75/10^7</f>
        <v>0</v>
      </c>
      <c r="U118" s="1150">
        <f t="shared" si="113"/>
        <v>0</v>
      </c>
      <c r="V118" s="1150">
        <f t="shared" si="113"/>
        <v>0</v>
      </c>
      <c r="W118" s="1150">
        <f t="shared" si="113"/>
        <v>0</v>
      </c>
      <c r="X118" s="485"/>
    </row>
    <row r="119" spans="2:24" s="1171" customFormat="1" x14ac:dyDescent="0.35">
      <c r="B119" s="455" t="s">
        <v>880</v>
      </c>
      <c r="C119" s="377" t="s">
        <v>1632</v>
      </c>
      <c r="D119" s="377" t="s">
        <v>136</v>
      </c>
      <c r="E119" s="1150"/>
      <c r="F119" s="1150"/>
      <c r="G119" s="1150"/>
      <c r="H119" s="1150"/>
      <c r="I119" s="610"/>
      <c r="J119" s="1150"/>
      <c r="K119" s="1150"/>
      <c r="L119" s="1150"/>
      <c r="M119" s="610"/>
      <c r="N119" s="1150"/>
      <c r="O119" s="1150"/>
      <c r="P119" s="1150"/>
      <c r="Q119" s="1150"/>
      <c r="R119" s="1150"/>
      <c r="S119" s="1150">
        <f t="shared" si="112"/>
        <v>0</v>
      </c>
      <c r="T119" s="1150">
        <f t="shared" si="112"/>
        <v>0</v>
      </c>
      <c r="U119" s="1150">
        <f t="shared" si="112"/>
        <v>0</v>
      </c>
      <c r="V119" s="1150">
        <f t="shared" si="112"/>
        <v>0</v>
      </c>
      <c r="W119" s="1150">
        <f t="shared" si="112"/>
        <v>0</v>
      </c>
      <c r="X119" s="485"/>
    </row>
    <row r="120" spans="2:24" s="1171" customFormat="1" x14ac:dyDescent="0.35">
      <c r="B120" s="455" t="s">
        <v>881</v>
      </c>
      <c r="C120" s="377" t="s">
        <v>1644</v>
      </c>
      <c r="D120" s="377" t="s">
        <v>136</v>
      </c>
      <c r="E120" s="1150"/>
      <c r="F120" s="1150"/>
      <c r="G120" s="1150"/>
      <c r="H120" s="1150"/>
      <c r="I120" s="610"/>
      <c r="J120" s="1150"/>
      <c r="K120" s="1150"/>
      <c r="L120" s="1150"/>
      <c r="M120" s="610"/>
      <c r="N120" s="1150"/>
      <c r="O120" s="1150"/>
      <c r="P120" s="1150"/>
      <c r="Q120" s="1150"/>
      <c r="R120" s="1150"/>
      <c r="S120" s="1150">
        <f t="shared" si="112"/>
        <v>0</v>
      </c>
      <c r="T120" s="1150">
        <f t="shared" si="112"/>
        <v>0</v>
      </c>
      <c r="U120" s="1150">
        <f t="shared" si="112"/>
        <v>0</v>
      </c>
      <c r="V120" s="1150">
        <f t="shared" si="112"/>
        <v>0</v>
      </c>
      <c r="W120" s="1150">
        <f t="shared" si="112"/>
        <v>0</v>
      </c>
      <c r="X120" s="485"/>
    </row>
    <row r="121" spans="2:24" s="1171" customFormat="1" x14ac:dyDescent="0.35">
      <c r="B121" s="455" t="s">
        <v>882</v>
      </c>
      <c r="C121" s="377" t="s">
        <v>750</v>
      </c>
      <c r="D121" s="377" t="s">
        <v>136</v>
      </c>
      <c r="E121" s="1150"/>
      <c r="F121" s="1150">
        <f t="shared" ref="F121:G124" si="114">F99*F78/10^7</f>
        <v>2.932818683172429</v>
      </c>
      <c r="G121" s="1150">
        <f t="shared" si="114"/>
        <v>12.059340317459998</v>
      </c>
      <c r="H121" s="1150">
        <f>G121-F121</f>
        <v>9.1265216342875704</v>
      </c>
      <c r="I121" s="610"/>
      <c r="J121" s="1150">
        <f t="shared" ref="J121:K121" si="115">J99*J78/10^7</f>
        <v>5.6025358591218319</v>
      </c>
      <c r="K121" s="1150">
        <f t="shared" si="115"/>
        <v>14.437076715682444</v>
      </c>
      <c r="L121" s="1150">
        <f>K121-J121</f>
        <v>8.8345408565606114</v>
      </c>
      <c r="M121" s="610"/>
      <c r="N121" s="1150">
        <f>N99*N78/10^7</f>
        <v>8.028279903000076</v>
      </c>
      <c r="O121" s="1150">
        <f t="shared" ref="O121" si="116">O99*O78/10^7</f>
        <v>13.839159188160634</v>
      </c>
      <c r="P121" s="1150">
        <f t="shared" ref="P121" si="117">P99*P78/10^7</f>
        <v>4.0686042861188518</v>
      </c>
      <c r="Q121" s="1150">
        <f>O121+P121</f>
        <v>17.907763474279484</v>
      </c>
      <c r="R121" s="1150">
        <f t="shared" si="101"/>
        <v>9.8794835712794082</v>
      </c>
      <c r="S121" s="1150">
        <f t="shared" ref="S121" si="118">S99*S78/10^7</f>
        <v>9.2791768220243362</v>
      </c>
      <c r="T121" s="1150">
        <f t="shared" ref="T121:W121" si="119">T99*T78/10^7</f>
        <v>9.7431356631255532</v>
      </c>
      <c r="U121" s="1150">
        <f t="shared" si="119"/>
        <v>10.230292446281833</v>
      </c>
      <c r="V121" s="1150">
        <f t="shared" si="119"/>
        <v>10.741807068595923</v>
      </c>
      <c r="W121" s="1150">
        <f t="shared" si="119"/>
        <v>11.278897422025722</v>
      </c>
      <c r="X121" s="485"/>
    </row>
    <row r="122" spans="2:24" s="1171" customFormat="1" x14ac:dyDescent="0.35">
      <c r="B122" s="455" t="s">
        <v>883</v>
      </c>
      <c r="C122" s="377" t="s">
        <v>751</v>
      </c>
      <c r="D122" s="377" t="s">
        <v>136</v>
      </c>
      <c r="E122" s="1150"/>
      <c r="F122" s="1150">
        <f t="shared" si="114"/>
        <v>3.5457824304455059</v>
      </c>
      <c r="G122" s="1150">
        <f t="shared" si="114"/>
        <v>14.579761533079001</v>
      </c>
      <c r="H122" s="1150">
        <f>G122-F122</f>
        <v>11.033979102633495</v>
      </c>
      <c r="I122" s="610"/>
      <c r="J122" s="1150">
        <f t="shared" ref="J122:K122" si="120">J100*J79/10^7</f>
        <v>2.8809509982845425</v>
      </c>
      <c r="K122" s="1150">
        <f t="shared" si="120"/>
        <v>7.4238722646703916</v>
      </c>
      <c r="L122" s="1150">
        <f>K122-J122</f>
        <v>4.5429212663858491</v>
      </c>
      <c r="M122" s="610"/>
      <c r="N122" s="1150">
        <f>N100*N79/10^7</f>
        <v>2.3076258583922784</v>
      </c>
      <c r="O122" s="1150">
        <f t="shared" ref="O122" si="121">O100*O79/10^7</f>
        <v>3.0551878193694026</v>
      </c>
      <c r="P122" s="1150">
        <f t="shared" ref="P122" si="122">P100*P79/10^7</f>
        <v>2.0921685955181286</v>
      </c>
      <c r="Q122" s="1150">
        <f t="shared" si="106"/>
        <v>5.1473564148875308</v>
      </c>
      <c r="R122" s="1150">
        <f t="shared" si="101"/>
        <v>2.8397305564952524</v>
      </c>
      <c r="S122" s="1150">
        <f t="shared" ref="S122" si="123">S100*S79/10^7</f>
        <v>4.4330590182392138</v>
      </c>
      <c r="T122" s="1150">
        <f t="shared" ref="T122:W122" si="124">T100*T79/10^7</f>
        <v>4.6547119691511742</v>
      </c>
      <c r="U122" s="1150">
        <f t="shared" si="124"/>
        <v>4.8874475676087332</v>
      </c>
      <c r="V122" s="1150">
        <f t="shared" si="124"/>
        <v>5.1318199459891707</v>
      </c>
      <c r="W122" s="1150">
        <f t="shared" si="124"/>
        <v>5.3884109432886298</v>
      </c>
      <c r="X122" s="485"/>
    </row>
    <row r="123" spans="2:24" s="1171" customFormat="1" x14ac:dyDescent="0.35">
      <c r="B123" s="455" t="s">
        <v>1642</v>
      </c>
      <c r="C123" s="377" t="s">
        <v>857</v>
      </c>
      <c r="D123" s="377" t="s">
        <v>136</v>
      </c>
      <c r="E123" s="1150"/>
      <c r="F123" s="1150">
        <f t="shared" si="114"/>
        <v>0</v>
      </c>
      <c r="G123" s="1150">
        <f t="shared" si="114"/>
        <v>0</v>
      </c>
      <c r="H123" s="1150">
        <f t="shared" ref="H123:H124" si="125">G123-F123</f>
        <v>0</v>
      </c>
      <c r="I123" s="610"/>
      <c r="J123" s="1150">
        <f t="shared" ref="J123:K123" si="126">J101*J80/10^7</f>
        <v>0</v>
      </c>
      <c r="K123" s="1150">
        <f t="shared" si="126"/>
        <v>0</v>
      </c>
      <c r="L123" s="1150">
        <f t="shared" ref="L123:L124" si="127">K123-J123</f>
        <v>0</v>
      </c>
      <c r="M123" s="610"/>
      <c r="N123" s="1150">
        <f t="shared" ref="N123:O123" si="128">N101*N80/10^7</f>
        <v>0</v>
      </c>
      <c r="O123" s="1150">
        <f t="shared" si="128"/>
        <v>0</v>
      </c>
      <c r="P123" s="1150">
        <f t="shared" ref="P123" si="129">P101*P80/10^7</f>
        <v>0</v>
      </c>
      <c r="Q123" s="1150">
        <f t="shared" si="106"/>
        <v>0</v>
      </c>
      <c r="R123" s="1150">
        <f t="shared" si="101"/>
        <v>0</v>
      </c>
      <c r="S123" s="1150">
        <f t="shared" ref="S123" si="130">S101*S80/10^7</f>
        <v>0</v>
      </c>
      <c r="T123" s="1150">
        <f t="shared" ref="T123:W123" si="131">T101*T80/10^7</f>
        <v>0</v>
      </c>
      <c r="U123" s="1150">
        <f t="shared" si="131"/>
        <v>0</v>
      </c>
      <c r="V123" s="1150">
        <f t="shared" si="131"/>
        <v>0</v>
      </c>
      <c r="W123" s="1150">
        <f t="shared" si="131"/>
        <v>0</v>
      </c>
      <c r="X123" s="485"/>
    </row>
    <row r="124" spans="2:24" s="1171" customFormat="1" x14ac:dyDescent="0.35">
      <c r="B124" s="455" t="s">
        <v>1643</v>
      </c>
      <c r="C124" s="377" t="s">
        <v>858</v>
      </c>
      <c r="D124" s="377" t="s">
        <v>136</v>
      </c>
      <c r="E124" s="1150"/>
      <c r="F124" s="1150">
        <f t="shared" si="114"/>
        <v>0</v>
      </c>
      <c r="G124" s="1150">
        <f t="shared" si="114"/>
        <v>0</v>
      </c>
      <c r="H124" s="1150">
        <f t="shared" si="125"/>
        <v>0</v>
      </c>
      <c r="I124" s="610"/>
      <c r="J124" s="1150">
        <f t="shared" ref="J124:K124" si="132">J102*J81/10^7</f>
        <v>0</v>
      </c>
      <c r="K124" s="1150">
        <f t="shared" si="132"/>
        <v>0</v>
      </c>
      <c r="L124" s="1150">
        <f t="shared" si="127"/>
        <v>0</v>
      </c>
      <c r="M124" s="610"/>
      <c r="N124" s="1150">
        <f t="shared" ref="N124:O124" si="133">N102*N81/10^7</f>
        <v>0</v>
      </c>
      <c r="O124" s="1150">
        <f t="shared" si="133"/>
        <v>0</v>
      </c>
      <c r="P124" s="1150">
        <f t="shared" ref="P124" si="134">P102*P81/10^7</f>
        <v>0</v>
      </c>
      <c r="Q124" s="1150">
        <f t="shared" si="106"/>
        <v>0</v>
      </c>
      <c r="R124" s="1150">
        <f t="shared" si="101"/>
        <v>0</v>
      </c>
      <c r="S124" s="1150">
        <f t="shared" ref="S124" si="135">S102*S81/10^7</f>
        <v>0</v>
      </c>
      <c r="T124" s="1150">
        <f t="shared" ref="T124:W124" si="136">T102*T81/10^7</f>
        <v>0</v>
      </c>
      <c r="U124" s="1150">
        <f t="shared" si="136"/>
        <v>0</v>
      </c>
      <c r="V124" s="1150">
        <f t="shared" si="136"/>
        <v>0</v>
      </c>
      <c r="W124" s="1150">
        <f t="shared" si="136"/>
        <v>0</v>
      </c>
      <c r="X124" s="485"/>
    </row>
    <row r="125" spans="2:24" s="1184" customFormat="1" x14ac:dyDescent="0.3">
      <c r="B125" s="444"/>
      <c r="C125" s="378" t="s">
        <v>135</v>
      </c>
      <c r="D125" s="378" t="s">
        <v>136</v>
      </c>
      <c r="E125" s="1150"/>
      <c r="F125" s="1150">
        <f t="shared" ref="F125:L125" si="137">SUM(F116:F124)</f>
        <v>307.9155689988487</v>
      </c>
      <c r="G125" s="1150">
        <f>SUM(G116:G124)</f>
        <v>432.94404524316815</v>
      </c>
      <c r="H125" s="1150">
        <f t="shared" si="137"/>
        <v>125.02847624431945</v>
      </c>
      <c r="I125" s="610"/>
      <c r="J125" s="1150">
        <f t="shared" ref="J125" si="138">SUM(J116:J124)</f>
        <v>415.5170836234505</v>
      </c>
      <c r="K125" s="1150">
        <f>SUM(K116:K124)</f>
        <v>463.9270540705329</v>
      </c>
      <c r="L125" s="1150">
        <f t="shared" si="137"/>
        <v>48.409970447082429</v>
      </c>
      <c r="M125" s="610"/>
      <c r="N125" s="1150">
        <f t="shared" ref="N125:O125" si="139">SUM(N116:N124)</f>
        <v>531.49781026897438</v>
      </c>
      <c r="O125" s="1150">
        <f t="shared" si="139"/>
        <v>244.15710105242124</v>
      </c>
      <c r="P125" s="1150">
        <f t="shared" ref="P125" si="140">SUM(P116:P124)</f>
        <v>306.93112515019726</v>
      </c>
      <c r="Q125" s="1150">
        <f>SUM(Q116:Q124)</f>
        <v>551.08822620261856</v>
      </c>
      <c r="R125" s="1150">
        <f>SUM(R116:R124)</f>
        <v>19.590415933644127</v>
      </c>
      <c r="S125" s="1150">
        <f t="shared" ref="S125:W125" si="141">SUM(S116:S124)</f>
        <v>704.2862206211496</v>
      </c>
      <c r="T125" s="1150">
        <f t="shared" si="141"/>
        <v>739.47340369633855</v>
      </c>
      <c r="U125" s="1150">
        <f t="shared" si="141"/>
        <v>776.44707388115557</v>
      </c>
      <c r="V125" s="1150">
        <f t="shared" si="141"/>
        <v>815.2694275752134</v>
      </c>
      <c r="W125" s="1150">
        <f t="shared" si="141"/>
        <v>856.03289895397393</v>
      </c>
      <c r="X125" s="486"/>
    </row>
    <row r="126" spans="2:24" s="1171" customFormat="1" x14ac:dyDescent="0.3">
      <c r="B126" s="444"/>
      <c r="C126" s="378"/>
      <c r="D126" s="445"/>
      <c r="E126" s="1194"/>
      <c r="F126" s="1193"/>
      <c r="G126" s="1193"/>
      <c r="H126" s="1193"/>
      <c r="I126" s="1194"/>
      <c r="J126" s="1193"/>
      <c r="K126" s="1193"/>
      <c r="L126" s="1193"/>
      <c r="M126" s="1194"/>
      <c r="N126" s="1150"/>
      <c r="O126" s="1150"/>
      <c r="P126" s="1150"/>
      <c r="Q126" s="1150"/>
      <c r="R126" s="1150"/>
      <c r="S126" s="1150"/>
      <c r="T126" s="1150"/>
      <c r="U126" s="1150"/>
      <c r="V126" s="1150"/>
      <c r="W126" s="1150"/>
      <c r="X126" s="485"/>
    </row>
    <row r="127" spans="2:24" s="1171" customFormat="1" x14ac:dyDescent="0.3">
      <c r="B127" s="444">
        <v>5</v>
      </c>
      <c r="C127" s="378" t="s">
        <v>698</v>
      </c>
      <c r="D127" s="445"/>
      <c r="E127" s="1194"/>
      <c r="F127" s="1193"/>
      <c r="G127" s="1193"/>
      <c r="H127" s="1193"/>
      <c r="I127" s="1194"/>
      <c r="J127" s="1193"/>
      <c r="K127" s="1193"/>
      <c r="L127" s="1193"/>
      <c r="M127" s="1194"/>
      <c r="N127" s="1150"/>
      <c r="O127" s="1150"/>
      <c r="P127" s="1150"/>
      <c r="Q127" s="1150"/>
      <c r="R127" s="1150"/>
      <c r="S127" s="1150"/>
      <c r="T127" s="1150"/>
      <c r="U127" s="1150"/>
      <c r="V127" s="1150"/>
      <c r="W127" s="1150"/>
      <c r="X127" s="485"/>
    </row>
    <row r="128" spans="2:24" s="1171" customFormat="1" x14ac:dyDescent="0.35">
      <c r="B128" s="455">
        <v>5.0999999999999996</v>
      </c>
      <c r="C128" s="377" t="s">
        <v>748</v>
      </c>
      <c r="D128" s="377" t="s">
        <v>136</v>
      </c>
      <c r="E128" s="610"/>
      <c r="F128" s="1150">
        <f>G128</f>
        <v>0</v>
      </c>
      <c r="G128" s="1150"/>
      <c r="H128" s="1150">
        <f>G128-F128</f>
        <v>0</v>
      </c>
      <c r="I128" s="610"/>
      <c r="J128" s="1150">
        <f>K128</f>
        <v>0</v>
      </c>
      <c r="K128" s="1150"/>
      <c r="L128" s="1150">
        <f>K128-J128</f>
        <v>0</v>
      </c>
      <c r="M128" s="610"/>
      <c r="N128" s="1150">
        <f>Q128</f>
        <v>0</v>
      </c>
      <c r="O128" s="1150"/>
      <c r="P128" s="1150"/>
      <c r="Q128" s="1150">
        <f>SUM(O128:P128)</f>
        <v>0</v>
      </c>
      <c r="R128" s="1150">
        <f t="shared" ref="R128:R131" si="142">Q128-N128</f>
        <v>0</v>
      </c>
      <c r="S128" s="1150"/>
      <c r="T128" s="1150"/>
      <c r="U128" s="1150"/>
      <c r="V128" s="1150"/>
      <c r="W128" s="1150"/>
      <c r="X128" s="485"/>
    </row>
    <row r="129" spans="2:24" s="1171" customFormat="1" x14ac:dyDescent="0.35">
      <c r="B129" s="455">
        <v>5.2</v>
      </c>
      <c r="C129" s="377" t="s">
        <v>113</v>
      </c>
      <c r="D129" s="377" t="s">
        <v>136</v>
      </c>
      <c r="E129" s="610"/>
      <c r="F129" s="1150">
        <f t="shared" ref="F129:F130" si="143">G129</f>
        <v>0</v>
      </c>
      <c r="G129" s="1150"/>
      <c r="H129" s="1150">
        <f>G129-F129</f>
        <v>0</v>
      </c>
      <c r="I129" s="610"/>
      <c r="J129" s="1150">
        <f t="shared" ref="J129:J130" si="144">K129</f>
        <v>0</v>
      </c>
      <c r="K129" s="1150"/>
      <c r="L129" s="1150">
        <f>K129-J129</f>
        <v>0</v>
      </c>
      <c r="M129" s="610"/>
      <c r="N129" s="1150">
        <f t="shared" ref="N129:N130" si="145">Q129</f>
        <v>0</v>
      </c>
      <c r="O129" s="1150"/>
      <c r="P129" s="1150"/>
      <c r="Q129" s="1150">
        <f t="shared" ref="Q129:Q130" si="146">SUM(O129:P129)</f>
        <v>0</v>
      </c>
      <c r="R129" s="1150">
        <f t="shared" si="142"/>
        <v>0</v>
      </c>
      <c r="S129" s="1150"/>
      <c r="T129" s="1150"/>
      <c r="U129" s="1150"/>
      <c r="V129" s="1150"/>
      <c r="W129" s="1150"/>
      <c r="X129" s="485"/>
    </row>
    <row r="130" spans="2:24" s="1171" customFormat="1" x14ac:dyDescent="0.35">
      <c r="B130" s="455">
        <v>5.3</v>
      </c>
      <c r="C130" s="377" t="s">
        <v>115</v>
      </c>
      <c r="D130" s="377" t="s">
        <v>136</v>
      </c>
      <c r="E130" s="610"/>
      <c r="F130" s="1150">
        <f t="shared" si="143"/>
        <v>0</v>
      </c>
      <c r="G130" s="1150"/>
      <c r="H130" s="1150">
        <f>G130-F130</f>
        <v>0</v>
      </c>
      <c r="I130" s="610"/>
      <c r="J130" s="1150">
        <f t="shared" si="144"/>
        <v>0</v>
      </c>
      <c r="K130" s="1150"/>
      <c r="L130" s="1150">
        <f>K130-J130</f>
        <v>0</v>
      </c>
      <c r="M130" s="610"/>
      <c r="N130" s="1150">
        <f t="shared" si="145"/>
        <v>0</v>
      </c>
      <c r="O130" s="1150"/>
      <c r="P130" s="1150"/>
      <c r="Q130" s="1150">
        <f t="shared" si="146"/>
        <v>0</v>
      </c>
      <c r="R130" s="1150">
        <f t="shared" si="142"/>
        <v>0</v>
      </c>
      <c r="S130" s="1150"/>
      <c r="T130" s="1150"/>
      <c r="U130" s="1150"/>
      <c r="V130" s="1150"/>
      <c r="W130" s="1150"/>
      <c r="X130" s="485"/>
    </row>
    <row r="131" spans="2:24" s="1171" customFormat="1" x14ac:dyDescent="0.3">
      <c r="B131" s="444"/>
      <c r="C131" s="378" t="s">
        <v>699</v>
      </c>
      <c r="D131" s="377" t="s">
        <v>136</v>
      </c>
      <c r="E131" s="610"/>
      <c r="F131" s="502">
        <f t="shared" ref="F131:Q131" si="147">SUM(F128:F130)</f>
        <v>0</v>
      </c>
      <c r="G131" s="502">
        <f t="shared" si="147"/>
        <v>0</v>
      </c>
      <c r="H131" s="502">
        <f t="shared" si="147"/>
        <v>0</v>
      </c>
      <c r="I131" s="610"/>
      <c r="J131" s="1193">
        <f t="shared" si="147"/>
        <v>0</v>
      </c>
      <c r="K131" s="1193">
        <f t="shared" si="147"/>
        <v>0</v>
      </c>
      <c r="L131" s="1150">
        <f t="shared" si="147"/>
        <v>0</v>
      </c>
      <c r="M131" s="610"/>
      <c r="N131" s="1193">
        <f t="shared" si="147"/>
        <v>0</v>
      </c>
      <c r="O131" s="1193">
        <f t="shared" si="147"/>
        <v>0</v>
      </c>
      <c r="P131" s="1193">
        <f t="shared" si="147"/>
        <v>0</v>
      </c>
      <c r="Q131" s="1193">
        <f t="shared" si="147"/>
        <v>0</v>
      </c>
      <c r="R131" s="1150">
        <f t="shared" si="142"/>
        <v>0</v>
      </c>
      <c r="S131" s="502">
        <f t="shared" ref="S131:W131" si="148">SUM(S128:S130)</f>
        <v>0</v>
      </c>
      <c r="T131" s="502">
        <f t="shared" si="148"/>
        <v>0</v>
      </c>
      <c r="U131" s="502">
        <f t="shared" si="148"/>
        <v>0</v>
      </c>
      <c r="V131" s="502">
        <f t="shared" si="148"/>
        <v>0</v>
      </c>
      <c r="W131" s="502">
        <f t="shared" si="148"/>
        <v>0</v>
      </c>
      <c r="X131" s="485"/>
    </row>
    <row r="132" spans="2:24" s="1171" customFormat="1" x14ac:dyDescent="0.3">
      <c r="B132" s="444"/>
      <c r="C132" s="378"/>
      <c r="D132" s="445"/>
      <c r="E132" s="1194"/>
      <c r="F132" s="1193"/>
      <c r="G132" s="1193"/>
      <c r="H132" s="1193"/>
      <c r="I132" s="1194"/>
      <c r="J132" s="1193"/>
      <c r="K132" s="1193"/>
      <c r="L132" s="1193"/>
      <c r="M132" s="1194"/>
      <c r="N132" s="1150"/>
      <c r="O132" s="1150"/>
      <c r="P132" s="1150"/>
      <c r="Q132" s="1150"/>
      <c r="R132" s="1150"/>
      <c r="S132" s="1193"/>
      <c r="T132" s="1193"/>
      <c r="U132" s="1193"/>
      <c r="V132" s="1193"/>
      <c r="W132" s="1193"/>
      <c r="X132" s="485"/>
    </row>
    <row r="133" spans="2:24" s="1171" customFormat="1" ht="30" x14ac:dyDescent="0.3">
      <c r="B133" s="444">
        <v>6</v>
      </c>
      <c r="C133" s="378" t="s">
        <v>700</v>
      </c>
      <c r="D133" s="445"/>
      <c r="E133" s="1194"/>
      <c r="F133" s="1193"/>
      <c r="G133" s="1193"/>
      <c r="H133" s="1193"/>
      <c r="I133" s="1194"/>
      <c r="J133" s="1193"/>
      <c r="K133" s="1193"/>
      <c r="L133" s="1193"/>
      <c r="M133" s="1194"/>
      <c r="N133" s="1150"/>
      <c r="O133" s="1150"/>
      <c r="P133" s="1150"/>
      <c r="Q133" s="1150"/>
      <c r="R133" s="1150"/>
      <c r="S133" s="1193"/>
      <c r="T133" s="1193"/>
      <c r="U133" s="1193"/>
      <c r="V133" s="1193"/>
      <c r="W133" s="1193"/>
      <c r="X133" s="485"/>
    </row>
    <row r="134" spans="2:24" s="1171" customFormat="1" x14ac:dyDescent="0.35">
      <c r="B134" s="455">
        <v>6.1</v>
      </c>
      <c r="C134" s="377" t="s">
        <v>748</v>
      </c>
      <c r="D134" s="377" t="s">
        <v>136</v>
      </c>
      <c r="E134" s="610"/>
      <c r="F134" s="1150">
        <f t="shared" ref="F134:F136" si="149">G134</f>
        <v>0</v>
      </c>
      <c r="G134" s="1150"/>
      <c r="H134" s="1150"/>
      <c r="I134" s="610"/>
      <c r="J134" s="1150">
        <f t="shared" ref="J134:J136" si="150">K134</f>
        <v>0</v>
      </c>
      <c r="K134" s="1150"/>
      <c r="L134" s="1150">
        <f>K134-J134</f>
        <v>0</v>
      </c>
      <c r="M134" s="610"/>
      <c r="N134" s="1150">
        <f t="shared" ref="N134:N136" si="151">Q134</f>
        <v>0</v>
      </c>
      <c r="O134" s="1150"/>
      <c r="P134" s="1150"/>
      <c r="Q134" s="1150">
        <f>SUM(O134:P134)</f>
        <v>0</v>
      </c>
      <c r="R134" s="1150">
        <f t="shared" ref="R134:R137" si="152">Q134-N134</f>
        <v>0</v>
      </c>
      <c r="S134" s="1150"/>
      <c r="T134" s="1150"/>
      <c r="U134" s="1150"/>
      <c r="V134" s="1150"/>
      <c r="W134" s="1150"/>
      <c r="X134" s="485"/>
    </row>
    <row r="135" spans="2:24" s="1171" customFormat="1" x14ac:dyDescent="0.35">
      <c r="B135" s="455">
        <v>6.2</v>
      </c>
      <c r="C135" s="377" t="s">
        <v>113</v>
      </c>
      <c r="D135" s="377" t="s">
        <v>136</v>
      </c>
      <c r="E135" s="610"/>
      <c r="F135" s="1150">
        <f t="shared" si="149"/>
        <v>0</v>
      </c>
      <c r="G135" s="1150"/>
      <c r="H135" s="1150"/>
      <c r="I135" s="610"/>
      <c r="J135" s="1150">
        <f t="shared" si="150"/>
        <v>0</v>
      </c>
      <c r="K135" s="1150"/>
      <c r="L135" s="1150">
        <f>K135-J135</f>
        <v>0</v>
      </c>
      <c r="M135" s="610"/>
      <c r="N135" s="1150">
        <f t="shared" si="151"/>
        <v>0</v>
      </c>
      <c r="O135" s="1150"/>
      <c r="P135" s="1150"/>
      <c r="Q135" s="1150">
        <f t="shared" ref="Q135:Q136" si="153">SUM(O135:P135)</f>
        <v>0</v>
      </c>
      <c r="R135" s="1150">
        <f t="shared" si="152"/>
        <v>0</v>
      </c>
      <c r="S135" s="1150"/>
      <c r="T135" s="1150"/>
      <c r="U135" s="1150"/>
      <c r="V135" s="1150"/>
      <c r="W135" s="1150"/>
      <c r="X135" s="485"/>
    </row>
    <row r="136" spans="2:24" s="1171" customFormat="1" x14ac:dyDescent="0.35">
      <c r="B136" s="455">
        <v>6.3</v>
      </c>
      <c r="C136" s="377" t="s">
        <v>115</v>
      </c>
      <c r="D136" s="377" t="s">
        <v>136</v>
      </c>
      <c r="E136" s="610"/>
      <c r="F136" s="1150">
        <f t="shared" si="149"/>
        <v>0</v>
      </c>
      <c r="G136" s="1150"/>
      <c r="H136" s="1150"/>
      <c r="I136" s="610"/>
      <c r="J136" s="1150">
        <f t="shared" si="150"/>
        <v>0</v>
      </c>
      <c r="K136" s="1150"/>
      <c r="L136" s="1150">
        <f>K136-J136</f>
        <v>0</v>
      </c>
      <c r="M136" s="610"/>
      <c r="N136" s="1150">
        <f t="shared" si="151"/>
        <v>0</v>
      </c>
      <c r="O136" s="1150"/>
      <c r="P136" s="1150"/>
      <c r="Q136" s="1150">
        <f t="shared" si="153"/>
        <v>0</v>
      </c>
      <c r="R136" s="1150">
        <f t="shared" si="152"/>
        <v>0</v>
      </c>
      <c r="S136" s="1150"/>
      <c r="T136" s="1150"/>
      <c r="U136" s="1150"/>
      <c r="V136" s="1150"/>
      <c r="W136" s="1150"/>
      <c r="X136" s="485"/>
    </row>
    <row r="137" spans="2:24" s="1171" customFormat="1" x14ac:dyDescent="0.3">
      <c r="B137" s="444"/>
      <c r="C137" s="378" t="s">
        <v>701</v>
      </c>
      <c r="D137" s="378" t="s">
        <v>136</v>
      </c>
      <c r="E137" s="610"/>
      <c r="F137" s="502">
        <f t="shared" ref="F137:Q137" si="154">SUM(F134:F136)</f>
        <v>0</v>
      </c>
      <c r="G137" s="502">
        <f t="shared" si="154"/>
        <v>0</v>
      </c>
      <c r="H137" s="502">
        <f t="shared" si="154"/>
        <v>0</v>
      </c>
      <c r="I137" s="610"/>
      <c r="J137" s="1193">
        <f t="shared" si="154"/>
        <v>0</v>
      </c>
      <c r="K137" s="1193">
        <f t="shared" si="154"/>
        <v>0</v>
      </c>
      <c r="L137" s="1150">
        <f t="shared" si="154"/>
        <v>0</v>
      </c>
      <c r="M137" s="610"/>
      <c r="N137" s="1193">
        <f t="shared" si="154"/>
        <v>0</v>
      </c>
      <c r="O137" s="1193">
        <f t="shared" si="154"/>
        <v>0</v>
      </c>
      <c r="P137" s="1193">
        <f t="shared" si="154"/>
        <v>0</v>
      </c>
      <c r="Q137" s="1193">
        <f t="shared" si="154"/>
        <v>0</v>
      </c>
      <c r="R137" s="1150">
        <f t="shared" si="152"/>
        <v>0</v>
      </c>
      <c r="S137" s="502">
        <f t="shared" ref="S137:W137" si="155">SUM(S134:S136)</f>
        <v>0</v>
      </c>
      <c r="T137" s="502">
        <f t="shared" si="155"/>
        <v>0</v>
      </c>
      <c r="U137" s="502">
        <f t="shared" si="155"/>
        <v>0</v>
      </c>
      <c r="V137" s="502">
        <f t="shared" si="155"/>
        <v>0</v>
      </c>
      <c r="W137" s="502">
        <f t="shared" si="155"/>
        <v>0</v>
      </c>
      <c r="X137" s="485"/>
    </row>
    <row r="138" spans="2:24" s="1171" customFormat="1" x14ac:dyDescent="0.3">
      <c r="B138" s="444"/>
      <c r="C138" s="378"/>
      <c r="D138" s="377"/>
      <c r="E138" s="1194"/>
      <c r="F138" s="1193"/>
      <c r="G138" s="1193"/>
      <c r="H138" s="1193"/>
      <c r="I138" s="1194"/>
      <c r="J138" s="1193"/>
      <c r="K138" s="1193"/>
      <c r="L138" s="1193"/>
      <c r="M138" s="1194"/>
      <c r="N138" s="1150"/>
      <c r="O138" s="1150"/>
      <c r="P138" s="1150"/>
      <c r="Q138" s="1150"/>
      <c r="R138" s="1150"/>
      <c r="S138" s="1193"/>
      <c r="T138" s="1193"/>
      <c r="U138" s="1193"/>
      <c r="V138" s="1193"/>
      <c r="W138" s="1193"/>
      <c r="X138" s="485"/>
    </row>
    <row r="139" spans="2:24" s="1171" customFormat="1" ht="30" x14ac:dyDescent="0.3">
      <c r="B139" s="444">
        <v>7</v>
      </c>
      <c r="C139" s="378" t="s">
        <v>137</v>
      </c>
      <c r="D139" s="445"/>
      <c r="E139" s="1194"/>
      <c r="F139" s="1193"/>
      <c r="G139" s="1193"/>
      <c r="H139" s="1193"/>
      <c r="I139" s="1194"/>
      <c r="J139" s="1193"/>
      <c r="K139" s="1193"/>
      <c r="L139" s="1193"/>
      <c r="M139" s="1194"/>
      <c r="N139" s="1150"/>
      <c r="O139" s="1150"/>
      <c r="P139" s="1150"/>
      <c r="Q139" s="1150"/>
      <c r="R139" s="1150"/>
      <c r="S139" s="1193"/>
      <c r="T139" s="1193"/>
      <c r="U139" s="1193"/>
      <c r="V139" s="1193"/>
      <c r="W139" s="1193"/>
      <c r="X139" s="485"/>
    </row>
    <row r="140" spans="2:24" s="1171" customFormat="1" x14ac:dyDescent="0.35">
      <c r="B140" s="455" t="s">
        <v>769</v>
      </c>
      <c r="C140" s="377" t="s">
        <v>854</v>
      </c>
      <c r="D140" s="377" t="s">
        <v>136</v>
      </c>
      <c r="E140" s="610"/>
      <c r="F140" s="1150">
        <f t="shared" ref="F140:F152" si="156">G140</f>
        <v>0</v>
      </c>
      <c r="G140" s="1150">
        <v>0</v>
      </c>
      <c r="H140" s="1150">
        <f>G140-F140</f>
        <v>0</v>
      </c>
      <c r="I140" s="610"/>
      <c r="J140" s="1150">
        <f t="shared" ref="J140:J152" si="157">K140</f>
        <v>0</v>
      </c>
      <c r="K140" s="1150">
        <v>0</v>
      </c>
      <c r="L140" s="1150">
        <f>K140-J140</f>
        <v>0</v>
      </c>
      <c r="M140" s="610"/>
      <c r="N140" s="1150">
        <f t="shared" ref="N140:N152" si="158">Q140</f>
        <v>0</v>
      </c>
      <c r="O140" s="1150">
        <v>0</v>
      </c>
      <c r="P140" s="1150">
        <v>0</v>
      </c>
      <c r="Q140" s="1150">
        <f t="shared" ref="Q140" si="159">SUM(O140:P140)</f>
        <v>0</v>
      </c>
      <c r="R140" s="1150">
        <f t="shared" ref="R140" si="160">Q140-N140</f>
        <v>0</v>
      </c>
      <c r="S140" s="1150">
        <v>0</v>
      </c>
      <c r="T140" s="1150">
        <v>0</v>
      </c>
      <c r="U140" s="1150">
        <v>0</v>
      </c>
      <c r="V140" s="1150">
        <v>0</v>
      </c>
      <c r="W140" s="1150">
        <v>0</v>
      </c>
      <c r="X140" s="485"/>
    </row>
    <row r="141" spans="2:24" s="1171" customFormat="1" ht="31" x14ac:dyDescent="0.35">
      <c r="B141" s="455" t="s">
        <v>770</v>
      </c>
      <c r="C141" s="377" t="s">
        <v>855</v>
      </c>
      <c r="D141" s="377" t="s">
        <v>136</v>
      </c>
      <c r="E141" s="610"/>
      <c r="F141" s="1150">
        <f t="shared" si="156"/>
        <v>0</v>
      </c>
      <c r="G141" s="1150">
        <v>0</v>
      </c>
      <c r="H141" s="1150">
        <f t="shared" ref="H141:H152" si="161">G141-F141</f>
        <v>0</v>
      </c>
      <c r="I141" s="610"/>
      <c r="J141" s="1150">
        <f>K141</f>
        <v>0</v>
      </c>
      <c r="K141" s="1150">
        <v>0</v>
      </c>
      <c r="L141" s="1150">
        <f t="shared" ref="L141:L152" si="162">K141-J141</f>
        <v>0</v>
      </c>
      <c r="M141" s="610"/>
      <c r="N141" s="1150">
        <f t="shared" si="158"/>
        <v>0</v>
      </c>
      <c r="O141" s="1150">
        <v>0</v>
      </c>
      <c r="P141" s="1150">
        <v>0</v>
      </c>
      <c r="Q141" s="1150">
        <f t="shared" ref="Q141:Q152" si="163">SUM(O141:P141)</f>
        <v>0</v>
      </c>
      <c r="R141" s="1150">
        <f t="shared" ref="R141:R152" si="164">Q141-N141</f>
        <v>0</v>
      </c>
      <c r="S141" s="1150"/>
      <c r="T141" s="1150"/>
      <c r="U141" s="1150"/>
      <c r="V141" s="1150"/>
      <c r="W141" s="1150"/>
      <c r="X141" s="485"/>
    </row>
    <row r="142" spans="2:24" s="1171" customFormat="1" x14ac:dyDescent="0.35">
      <c r="B142" s="455" t="s">
        <v>771</v>
      </c>
      <c r="C142" s="377" t="s">
        <v>758</v>
      </c>
      <c r="D142" s="377" t="s">
        <v>136</v>
      </c>
      <c r="E142" s="610"/>
      <c r="F142" s="1150">
        <f t="shared" si="156"/>
        <v>0</v>
      </c>
      <c r="G142" s="1150">
        <v>0</v>
      </c>
      <c r="H142" s="1150">
        <f t="shared" si="161"/>
        <v>0</v>
      </c>
      <c r="I142" s="610"/>
      <c r="J142" s="1150">
        <f t="shared" si="157"/>
        <v>0</v>
      </c>
      <c r="K142" s="1150">
        <v>0</v>
      </c>
      <c r="L142" s="1150">
        <f t="shared" si="162"/>
        <v>0</v>
      </c>
      <c r="M142" s="610"/>
      <c r="N142" s="1150">
        <f t="shared" si="158"/>
        <v>0</v>
      </c>
      <c r="O142" s="1150">
        <v>0</v>
      </c>
      <c r="P142" s="1150">
        <v>0</v>
      </c>
      <c r="Q142" s="1150">
        <f t="shared" si="163"/>
        <v>0</v>
      </c>
      <c r="R142" s="1150">
        <f t="shared" si="164"/>
        <v>0</v>
      </c>
      <c r="S142" s="1150"/>
      <c r="T142" s="1150"/>
      <c r="U142" s="1150"/>
      <c r="V142" s="1150"/>
      <c r="W142" s="1150"/>
      <c r="X142" s="485"/>
    </row>
    <row r="143" spans="2:24" s="1171" customFormat="1" x14ac:dyDescent="0.35">
      <c r="B143" s="455" t="s">
        <v>835</v>
      </c>
      <c r="C143" s="377" t="s">
        <v>759</v>
      </c>
      <c r="D143" s="377" t="s">
        <v>136</v>
      </c>
      <c r="E143" s="610"/>
      <c r="F143" s="1150">
        <f t="shared" si="156"/>
        <v>0</v>
      </c>
      <c r="G143" s="1150">
        <v>0</v>
      </c>
      <c r="H143" s="1150">
        <f t="shared" si="161"/>
        <v>0</v>
      </c>
      <c r="I143" s="610"/>
      <c r="J143" s="1150">
        <f t="shared" si="157"/>
        <v>0</v>
      </c>
      <c r="K143" s="1150">
        <v>0</v>
      </c>
      <c r="L143" s="1150">
        <f t="shared" si="162"/>
        <v>0</v>
      </c>
      <c r="M143" s="610"/>
      <c r="N143" s="1150">
        <f t="shared" si="158"/>
        <v>0</v>
      </c>
      <c r="O143" s="1150">
        <v>0</v>
      </c>
      <c r="P143" s="1150">
        <v>0</v>
      </c>
      <c r="Q143" s="1150">
        <f t="shared" si="163"/>
        <v>0</v>
      </c>
      <c r="R143" s="1150">
        <f t="shared" si="164"/>
        <v>0</v>
      </c>
      <c r="S143" s="1150">
        <v>0</v>
      </c>
      <c r="T143" s="1150">
        <v>0</v>
      </c>
      <c r="U143" s="1150">
        <v>0</v>
      </c>
      <c r="V143" s="1150">
        <v>0</v>
      </c>
      <c r="W143" s="1150">
        <v>0</v>
      </c>
      <c r="X143" s="485"/>
    </row>
    <row r="144" spans="2:24" s="1171" customFormat="1" x14ac:dyDescent="0.35">
      <c r="B144" s="455" t="s">
        <v>836</v>
      </c>
      <c r="C144" s="377" t="s">
        <v>760</v>
      </c>
      <c r="D144" s="377" t="s">
        <v>136</v>
      </c>
      <c r="E144" s="610"/>
      <c r="F144" s="1150">
        <f t="shared" si="156"/>
        <v>0</v>
      </c>
      <c r="G144" s="1150">
        <v>0</v>
      </c>
      <c r="H144" s="1150">
        <f t="shared" si="161"/>
        <v>0</v>
      </c>
      <c r="I144" s="610"/>
      <c r="J144" s="1150">
        <f t="shared" si="157"/>
        <v>0</v>
      </c>
      <c r="K144" s="1150">
        <v>0</v>
      </c>
      <c r="L144" s="1150">
        <f t="shared" si="162"/>
        <v>0</v>
      </c>
      <c r="M144" s="610"/>
      <c r="N144" s="1150">
        <f t="shared" si="158"/>
        <v>0</v>
      </c>
      <c r="O144" s="1150">
        <v>0</v>
      </c>
      <c r="P144" s="1150">
        <v>0</v>
      </c>
      <c r="Q144" s="1150">
        <f t="shared" si="163"/>
        <v>0</v>
      </c>
      <c r="R144" s="1150">
        <f t="shared" si="164"/>
        <v>0</v>
      </c>
      <c r="S144" s="1150">
        <v>0</v>
      </c>
      <c r="T144" s="1150">
        <v>0</v>
      </c>
      <c r="U144" s="1150">
        <v>0</v>
      </c>
      <c r="V144" s="1150">
        <v>0</v>
      </c>
      <c r="W144" s="1150">
        <v>0</v>
      </c>
      <c r="X144" s="485"/>
    </row>
    <row r="145" spans="2:24" s="1171" customFormat="1" x14ac:dyDescent="0.35">
      <c r="B145" s="455" t="s">
        <v>837</v>
      </c>
      <c r="C145" s="377" t="s">
        <v>761</v>
      </c>
      <c r="D145" s="377" t="s">
        <v>136</v>
      </c>
      <c r="E145" s="610"/>
      <c r="F145" s="1150">
        <f t="shared" si="156"/>
        <v>0</v>
      </c>
      <c r="G145" s="1150">
        <v>0</v>
      </c>
      <c r="H145" s="1150">
        <f t="shared" si="161"/>
        <v>0</v>
      </c>
      <c r="I145" s="610"/>
      <c r="J145" s="1150">
        <f t="shared" si="157"/>
        <v>0</v>
      </c>
      <c r="K145" s="1150">
        <v>0</v>
      </c>
      <c r="L145" s="1150">
        <f t="shared" si="162"/>
        <v>0</v>
      </c>
      <c r="M145" s="610"/>
      <c r="N145" s="1150">
        <f t="shared" si="158"/>
        <v>0</v>
      </c>
      <c r="O145" s="1150">
        <v>0</v>
      </c>
      <c r="P145" s="1150">
        <v>0</v>
      </c>
      <c r="Q145" s="1150">
        <f t="shared" si="163"/>
        <v>0</v>
      </c>
      <c r="R145" s="1150">
        <f t="shared" si="164"/>
        <v>0</v>
      </c>
      <c r="S145" s="1150">
        <v>0</v>
      </c>
      <c r="T145" s="1150">
        <v>0</v>
      </c>
      <c r="U145" s="1150">
        <v>0</v>
      </c>
      <c r="V145" s="1150">
        <v>0</v>
      </c>
      <c r="W145" s="1150">
        <v>0</v>
      </c>
      <c r="X145" s="485"/>
    </row>
    <row r="146" spans="2:24" s="1171" customFormat="1" x14ac:dyDescent="0.35">
      <c r="B146" s="455" t="s">
        <v>838</v>
      </c>
      <c r="C146" s="377" t="s">
        <v>762</v>
      </c>
      <c r="D146" s="377" t="s">
        <v>136</v>
      </c>
      <c r="E146" s="610"/>
      <c r="F146" s="1150">
        <f t="shared" si="156"/>
        <v>0</v>
      </c>
      <c r="G146" s="1150">
        <v>0</v>
      </c>
      <c r="H146" s="1150">
        <f t="shared" si="161"/>
        <v>0</v>
      </c>
      <c r="I146" s="610"/>
      <c r="J146" s="1150">
        <f t="shared" si="157"/>
        <v>0</v>
      </c>
      <c r="K146" s="1150">
        <v>0</v>
      </c>
      <c r="L146" s="1150">
        <f t="shared" si="162"/>
        <v>0</v>
      </c>
      <c r="M146" s="610"/>
      <c r="N146" s="1150">
        <f t="shared" si="158"/>
        <v>0</v>
      </c>
      <c r="O146" s="1150">
        <v>0</v>
      </c>
      <c r="P146" s="1150">
        <v>0</v>
      </c>
      <c r="Q146" s="1150">
        <f t="shared" si="163"/>
        <v>0</v>
      </c>
      <c r="R146" s="1150">
        <f t="shared" si="164"/>
        <v>0</v>
      </c>
      <c r="S146" s="1150">
        <v>0</v>
      </c>
      <c r="T146" s="1150">
        <v>0</v>
      </c>
      <c r="U146" s="1150">
        <v>0</v>
      </c>
      <c r="V146" s="1150">
        <v>0</v>
      </c>
      <c r="W146" s="1150">
        <v>0</v>
      </c>
      <c r="X146" s="485"/>
    </row>
    <row r="147" spans="2:24" s="1171" customFormat="1" x14ac:dyDescent="0.35">
      <c r="B147" s="455" t="s">
        <v>839</v>
      </c>
      <c r="C147" s="377" t="s">
        <v>763</v>
      </c>
      <c r="D147" s="377" t="s">
        <v>136</v>
      </c>
      <c r="E147" s="610"/>
      <c r="F147" s="1150">
        <f t="shared" si="156"/>
        <v>0</v>
      </c>
      <c r="G147" s="1150">
        <v>0</v>
      </c>
      <c r="H147" s="1150">
        <f t="shared" si="161"/>
        <v>0</v>
      </c>
      <c r="I147" s="610"/>
      <c r="J147" s="1150">
        <f t="shared" si="157"/>
        <v>0</v>
      </c>
      <c r="K147" s="1150">
        <v>0</v>
      </c>
      <c r="L147" s="1150">
        <f t="shared" si="162"/>
        <v>0</v>
      </c>
      <c r="M147" s="610"/>
      <c r="N147" s="1150">
        <f t="shared" si="158"/>
        <v>0</v>
      </c>
      <c r="O147" s="1150">
        <v>0</v>
      </c>
      <c r="P147" s="1150">
        <v>0</v>
      </c>
      <c r="Q147" s="1150">
        <f t="shared" si="163"/>
        <v>0</v>
      </c>
      <c r="R147" s="1150">
        <f t="shared" si="164"/>
        <v>0</v>
      </c>
      <c r="S147" s="1150">
        <v>0</v>
      </c>
      <c r="T147" s="1150">
        <v>0</v>
      </c>
      <c r="U147" s="1150">
        <v>0</v>
      </c>
      <c r="V147" s="1150">
        <v>0</v>
      </c>
      <c r="W147" s="1150">
        <v>0</v>
      </c>
      <c r="X147" s="485"/>
    </row>
    <row r="148" spans="2:24" s="1171" customFormat="1" ht="31" x14ac:dyDescent="0.35">
      <c r="B148" s="455" t="s">
        <v>840</v>
      </c>
      <c r="C148" s="377" t="s">
        <v>764</v>
      </c>
      <c r="D148" s="377" t="s">
        <v>136</v>
      </c>
      <c r="E148" s="610"/>
      <c r="F148" s="1150">
        <f t="shared" si="156"/>
        <v>0</v>
      </c>
      <c r="G148" s="1150">
        <v>0</v>
      </c>
      <c r="H148" s="1150">
        <f t="shared" si="161"/>
        <v>0</v>
      </c>
      <c r="I148" s="610"/>
      <c r="J148" s="1150">
        <f t="shared" si="157"/>
        <v>0</v>
      </c>
      <c r="K148" s="1150">
        <v>0</v>
      </c>
      <c r="L148" s="1150">
        <f t="shared" si="162"/>
        <v>0</v>
      </c>
      <c r="M148" s="610"/>
      <c r="N148" s="1150">
        <f t="shared" si="158"/>
        <v>0</v>
      </c>
      <c r="O148" s="1150">
        <v>0</v>
      </c>
      <c r="P148" s="1150">
        <v>0</v>
      </c>
      <c r="Q148" s="1150">
        <f t="shared" si="163"/>
        <v>0</v>
      </c>
      <c r="R148" s="1150">
        <f t="shared" si="164"/>
        <v>0</v>
      </c>
      <c r="S148" s="1150">
        <v>0</v>
      </c>
      <c r="T148" s="1150">
        <v>0</v>
      </c>
      <c r="U148" s="1150">
        <v>0</v>
      </c>
      <c r="V148" s="1150">
        <v>0</v>
      </c>
      <c r="W148" s="1150">
        <v>0</v>
      </c>
      <c r="X148" s="485"/>
    </row>
    <row r="149" spans="2:24" s="1171" customFormat="1" ht="31" x14ac:dyDescent="0.35">
      <c r="B149" s="455" t="s">
        <v>841</v>
      </c>
      <c r="C149" s="377" t="s">
        <v>765</v>
      </c>
      <c r="D149" s="377" t="s">
        <v>136</v>
      </c>
      <c r="E149" s="610"/>
      <c r="F149" s="1150">
        <f t="shared" si="156"/>
        <v>0</v>
      </c>
      <c r="G149" s="1150">
        <v>0</v>
      </c>
      <c r="H149" s="1150">
        <f t="shared" si="161"/>
        <v>0</v>
      </c>
      <c r="I149" s="610"/>
      <c r="J149" s="1150">
        <f t="shared" si="157"/>
        <v>0</v>
      </c>
      <c r="K149" s="1150">
        <v>0</v>
      </c>
      <c r="L149" s="1150">
        <f t="shared" si="162"/>
        <v>0</v>
      </c>
      <c r="M149" s="610"/>
      <c r="N149" s="1150">
        <f t="shared" si="158"/>
        <v>0</v>
      </c>
      <c r="O149" s="1150">
        <v>0</v>
      </c>
      <c r="P149" s="1150">
        <v>0</v>
      </c>
      <c r="Q149" s="1150">
        <f t="shared" si="163"/>
        <v>0</v>
      </c>
      <c r="R149" s="1150">
        <f t="shared" si="164"/>
        <v>0</v>
      </c>
      <c r="S149" s="1150">
        <v>0</v>
      </c>
      <c r="T149" s="1150">
        <v>0</v>
      </c>
      <c r="U149" s="1150">
        <v>0</v>
      </c>
      <c r="V149" s="1150">
        <v>0</v>
      </c>
      <c r="W149" s="1150">
        <v>0</v>
      </c>
      <c r="X149" s="485"/>
    </row>
    <row r="150" spans="2:24" s="1171" customFormat="1" x14ac:dyDescent="0.35">
      <c r="B150" s="455" t="s">
        <v>842</v>
      </c>
      <c r="C150" s="377" t="s">
        <v>766</v>
      </c>
      <c r="D150" s="377" t="s">
        <v>136</v>
      </c>
      <c r="E150" s="610"/>
      <c r="F150" s="1150">
        <f t="shared" si="156"/>
        <v>0</v>
      </c>
      <c r="G150" s="1150">
        <v>0</v>
      </c>
      <c r="H150" s="1150">
        <f t="shared" si="161"/>
        <v>0</v>
      </c>
      <c r="I150" s="610"/>
      <c r="J150" s="1150">
        <f t="shared" si="157"/>
        <v>0</v>
      </c>
      <c r="K150" s="1150">
        <v>0</v>
      </c>
      <c r="L150" s="1150">
        <f t="shared" si="162"/>
        <v>0</v>
      </c>
      <c r="M150" s="610"/>
      <c r="N150" s="1150">
        <f t="shared" si="158"/>
        <v>0</v>
      </c>
      <c r="O150" s="1150">
        <v>0</v>
      </c>
      <c r="P150" s="1150">
        <v>0</v>
      </c>
      <c r="Q150" s="1150">
        <f t="shared" si="163"/>
        <v>0</v>
      </c>
      <c r="R150" s="1150">
        <f t="shared" si="164"/>
        <v>0</v>
      </c>
      <c r="S150" s="1150">
        <v>0</v>
      </c>
      <c r="T150" s="1150">
        <v>0</v>
      </c>
      <c r="U150" s="1150">
        <v>0</v>
      </c>
      <c r="V150" s="1150">
        <v>0</v>
      </c>
      <c r="W150" s="1150">
        <v>0</v>
      </c>
      <c r="X150" s="485"/>
    </row>
    <row r="151" spans="2:24" s="1171" customFormat="1" x14ac:dyDescent="0.35">
      <c r="B151" s="455" t="s">
        <v>843</v>
      </c>
      <c r="C151" s="377" t="s">
        <v>767</v>
      </c>
      <c r="D151" s="377" t="s">
        <v>136</v>
      </c>
      <c r="E151" s="610"/>
      <c r="F151" s="1150">
        <f t="shared" si="156"/>
        <v>0</v>
      </c>
      <c r="G151" s="1150">
        <v>0</v>
      </c>
      <c r="H151" s="1150">
        <f t="shared" si="161"/>
        <v>0</v>
      </c>
      <c r="I151" s="610"/>
      <c r="J151" s="1150">
        <f t="shared" si="157"/>
        <v>0</v>
      </c>
      <c r="K151" s="1150">
        <v>0</v>
      </c>
      <c r="L151" s="1150">
        <f t="shared" si="162"/>
        <v>0</v>
      </c>
      <c r="M151" s="610"/>
      <c r="N151" s="1150">
        <f t="shared" si="158"/>
        <v>0</v>
      </c>
      <c r="O151" s="1150">
        <v>0</v>
      </c>
      <c r="P151" s="1150">
        <v>0</v>
      </c>
      <c r="Q151" s="1150">
        <f t="shared" si="163"/>
        <v>0</v>
      </c>
      <c r="R151" s="1150">
        <f t="shared" si="164"/>
        <v>0</v>
      </c>
      <c r="S151" s="1150">
        <v>0</v>
      </c>
      <c r="T151" s="1150">
        <v>0</v>
      </c>
      <c r="U151" s="1150">
        <v>0</v>
      </c>
      <c r="V151" s="1150">
        <v>0</v>
      </c>
      <c r="W151" s="1150">
        <v>0</v>
      </c>
      <c r="X151" s="485"/>
    </row>
    <row r="152" spans="2:24" s="1171" customFormat="1" x14ac:dyDescent="0.35">
      <c r="B152" s="455" t="s">
        <v>844</v>
      </c>
      <c r="C152" s="377" t="s">
        <v>768</v>
      </c>
      <c r="D152" s="377" t="s">
        <v>136</v>
      </c>
      <c r="E152" s="610"/>
      <c r="F152" s="1150">
        <f t="shared" si="156"/>
        <v>0</v>
      </c>
      <c r="G152" s="1150">
        <v>0</v>
      </c>
      <c r="H152" s="1150">
        <f t="shared" si="161"/>
        <v>0</v>
      </c>
      <c r="I152" s="610"/>
      <c r="J152" s="1150">
        <f t="shared" si="157"/>
        <v>0</v>
      </c>
      <c r="K152" s="1150">
        <v>0</v>
      </c>
      <c r="L152" s="1150">
        <f t="shared" si="162"/>
        <v>0</v>
      </c>
      <c r="M152" s="610"/>
      <c r="N152" s="1150">
        <f t="shared" si="158"/>
        <v>0</v>
      </c>
      <c r="O152" s="1150">
        <v>0</v>
      </c>
      <c r="P152" s="1150">
        <v>0</v>
      </c>
      <c r="Q152" s="1150">
        <f t="shared" si="163"/>
        <v>0</v>
      </c>
      <c r="R152" s="1150">
        <f t="shared" si="164"/>
        <v>0</v>
      </c>
      <c r="S152" s="1150">
        <v>0</v>
      </c>
      <c r="T152" s="1150">
        <v>0</v>
      </c>
      <c r="U152" s="1150">
        <v>0</v>
      </c>
      <c r="V152" s="1150">
        <v>0</v>
      </c>
      <c r="W152" s="1150">
        <v>0</v>
      </c>
      <c r="X152" s="485"/>
    </row>
    <row r="153" spans="2:24" s="1184" customFormat="1" ht="30" x14ac:dyDescent="0.3">
      <c r="B153" s="444"/>
      <c r="C153" s="378" t="s">
        <v>138</v>
      </c>
      <c r="D153" s="378" t="s">
        <v>136</v>
      </c>
      <c r="E153" s="610"/>
      <c r="F153" s="1150">
        <f>SUM(F140:F152)</f>
        <v>0</v>
      </c>
      <c r="G153" s="1150">
        <f t="shared" ref="G153:R153" si="165">SUM(G140:G152)</f>
        <v>0</v>
      </c>
      <c r="H153" s="1150">
        <f t="shared" si="165"/>
        <v>0</v>
      </c>
      <c r="I153" s="610"/>
      <c r="J153" s="1150">
        <f t="shared" si="165"/>
        <v>0</v>
      </c>
      <c r="K153" s="1150">
        <f t="shared" si="165"/>
        <v>0</v>
      </c>
      <c r="L153" s="1150">
        <f t="shared" si="165"/>
        <v>0</v>
      </c>
      <c r="M153" s="610"/>
      <c r="N153" s="1150">
        <f t="shared" si="165"/>
        <v>0</v>
      </c>
      <c r="O153" s="1150">
        <f t="shared" si="165"/>
        <v>0</v>
      </c>
      <c r="P153" s="1150">
        <f t="shared" si="165"/>
        <v>0</v>
      </c>
      <c r="Q153" s="1150">
        <f t="shared" si="165"/>
        <v>0</v>
      </c>
      <c r="R153" s="1150">
        <f t="shared" si="165"/>
        <v>0</v>
      </c>
      <c r="S153" s="1150">
        <f t="shared" ref="S153:W153" si="166">SUM(S140:S152)</f>
        <v>0</v>
      </c>
      <c r="T153" s="1150">
        <f t="shared" si="166"/>
        <v>0</v>
      </c>
      <c r="U153" s="1150">
        <f t="shared" si="166"/>
        <v>0</v>
      </c>
      <c r="V153" s="1150">
        <f t="shared" si="166"/>
        <v>0</v>
      </c>
      <c r="W153" s="1150">
        <f t="shared" si="166"/>
        <v>0</v>
      </c>
      <c r="X153" s="486"/>
    </row>
    <row r="154" spans="2:24" s="1171" customFormat="1" x14ac:dyDescent="0.3">
      <c r="B154" s="444"/>
      <c r="C154" s="378"/>
      <c r="D154" s="445"/>
      <c r="E154" s="1194"/>
      <c r="F154" s="1193"/>
      <c r="G154" s="1193"/>
      <c r="H154" s="1193"/>
      <c r="I154" s="1194"/>
      <c r="J154" s="1193"/>
      <c r="K154" s="1193"/>
      <c r="L154" s="1193"/>
      <c r="M154" s="1194"/>
      <c r="N154" s="1193"/>
      <c r="O154" s="1193"/>
      <c r="P154" s="1193"/>
      <c r="Q154" s="1150"/>
      <c r="R154" s="1150"/>
      <c r="S154" s="1193"/>
      <c r="T154" s="1193"/>
      <c r="U154" s="1193"/>
      <c r="V154" s="1193"/>
      <c r="W154" s="1193"/>
      <c r="X154" s="485"/>
    </row>
    <row r="155" spans="2:24" s="1238" customFormat="1" x14ac:dyDescent="0.3">
      <c r="B155" s="446">
        <v>8</v>
      </c>
      <c r="C155" s="456" t="s">
        <v>702</v>
      </c>
      <c r="D155" s="377" t="s">
        <v>136</v>
      </c>
      <c r="E155" s="1206">
        <v>469.50251703765423</v>
      </c>
      <c r="F155" s="1207">
        <f>F125+F131+F137+F153</f>
        <v>307.9155689988487</v>
      </c>
      <c r="G155" s="1154">
        <f>G125+G131+G137+G4153</f>
        <v>432.94404524316815</v>
      </c>
      <c r="H155" s="1154">
        <f t="shared" ref="H155:Q155" si="167">H125+H131+H137+H153</f>
        <v>125.02847624431945</v>
      </c>
      <c r="I155" s="1206">
        <v>577.38823249397922</v>
      </c>
      <c r="J155" s="1154">
        <f>J125+J131+J137+J153</f>
        <v>415.5170836234505</v>
      </c>
      <c r="K155" s="1154">
        <f t="shared" si="167"/>
        <v>463.9270540705329</v>
      </c>
      <c r="L155" s="1154">
        <f t="shared" si="167"/>
        <v>48.409970447082429</v>
      </c>
      <c r="M155" s="1206">
        <v>582.79231583937337</v>
      </c>
      <c r="N155" s="1208">
        <f>N125+N131+N137+N153</f>
        <v>531.49781026897438</v>
      </c>
      <c r="O155" s="1154">
        <f t="shared" si="167"/>
        <v>244.15710105242124</v>
      </c>
      <c r="P155" s="1154">
        <f t="shared" si="167"/>
        <v>306.93112515019726</v>
      </c>
      <c r="Q155" s="1154">
        <f t="shared" si="167"/>
        <v>551.08822620261856</v>
      </c>
      <c r="R155" s="1209">
        <f>R125+R131+R137+R153</f>
        <v>19.590415933644127</v>
      </c>
      <c r="S155" s="1154">
        <f>S125+S131+S137+S153</f>
        <v>704.2862206211496</v>
      </c>
      <c r="T155" s="1154">
        <f t="shared" ref="T155:W155" si="168">T125+T131+T137+T153</f>
        <v>739.47340369633855</v>
      </c>
      <c r="U155" s="1154">
        <f t="shared" si="168"/>
        <v>776.44707388115557</v>
      </c>
      <c r="V155" s="1154">
        <f t="shared" si="168"/>
        <v>815.2694275752134</v>
      </c>
      <c r="W155" s="1154">
        <f t="shared" si="168"/>
        <v>856.03289895397393</v>
      </c>
      <c r="X155" s="1210"/>
    </row>
    <row r="156" spans="2:24" s="1239" customFormat="1" x14ac:dyDescent="0.35">
      <c r="B156" s="373"/>
      <c r="C156" s="1218"/>
      <c r="D156" s="374"/>
      <c r="E156" s="1213"/>
      <c r="F156" s="1213"/>
      <c r="G156" s="1213"/>
      <c r="H156" s="1213"/>
      <c r="I156" s="1213"/>
      <c r="J156" s="1213"/>
      <c r="K156" s="1213"/>
      <c r="L156" s="1213"/>
      <c r="M156" s="1213"/>
      <c r="N156" s="1213"/>
      <c r="O156" s="1213"/>
      <c r="P156" s="1213"/>
      <c r="Q156" s="1213"/>
      <c r="R156" s="1213"/>
      <c r="S156" s="1213"/>
      <c r="T156" s="1213"/>
      <c r="U156" s="1213"/>
      <c r="V156" s="1213"/>
      <c r="W156" s="1213"/>
      <c r="X156" s="1211"/>
    </row>
    <row r="157" spans="2:24" s="1239" customFormat="1" x14ac:dyDescent="0.35">
      <c r="B157" s="373">
        <v>9</v>
      </c>
      <c r="C157" s="1218" t="s">
        <v>703</v>
      </c>
      <c r="D157" s="374" t="s">
        <v>139</v>
      </c>
      <c r="E157" s="1213">
        <v>4.602382945857622</v>
      </c>
      <c r="F157" s="1210">
        <f>F155/F37*10</f>
        <v>4.8330476601757129</v>
      </c>
      <c r="G157" s="1213">
        <f>G155/G37*10</f>
        <v>7.0820833707085811</v>
      </c>
      <c r="H157" s="1213">
        <f t="shared" ref="H157" si="169">G157-F157</f>
        <v>2.2490357105328682</v>
      </c>
      <c r="I157" s="1213">
        <v>4.4078314698710352</v>
      </c>
      <c r="J157" s="1213">
        <f>J155/J37*10</f>
        <v>4.5929627899605601</v>
      </c>
      <c r="K157" s="1213">
        <f>K155/K37*10</f>
        <v>5.2741776255185364</v>
      </c>
      <c r="L157" s="1213">
        <f t="shared" ref="L157" si="170">K157-J157</f>
        <v>0.68121483555797635</v>
      </c>
      <c r="M157" s="1213"/>
      <c r="N157" s="1213">
        <f t="shared" ref="N157:W157" si="171">N155/N37*10</f>
        <v>4.8057922471108583</v>
      </c>
      <c r="O157" s="1213">
        <f t="shared" si="171"/>
        <v>5.6075544685359358</v>
      </c>
      <c r="P157" s="1213">
        <f t="shared" si="171"/>
        <v>4.6747575726123278</v>
      </c>
      <c r="Q157" s="1213">
        <f t="shared" si="171"/>
        <v>5.0466940703877059</v>
      </c>
      <c r="R157" s="1214">
        <f t="shared" si="171"/>
        <v>-14.019325238892959</v>
      </c>
      <c r="S157" s="1213">
        <f t="shared" si="171"/>
        <v>5.3727351888739285</v>
      </c>
      <c r="T157" s="1213">
        <f t="shared" si="171"/>
        <v>5.6413749583198838</v>
      </c>
      <c r="U157" s="1213">
        <f t="shared" si="171"/>
        <v>5.9234437062358793</v>
      </c>
      <c r="V157" s="1213">
        <f t="shared" si="171"/>
        <v>6.2196158915476731</v>
      </c>
      <c r="W157" s="1213">
        <f t="shared" si="171"/>
        <v>6.5305966861250555</v>
      </c>
      <c r="X157" s="1213"/>
    </row>
    <row r="158" spans="2:24" s="1181" customFormat="1" ht="18.5" x14ac:dyDescent="0.35">
      <c r="B158" s="1240"/>
      <c r="C158" s="1241"/>
      <c r="D158" s="1242"/>
      <c r="E158" s="1242"/>
      <c r="F158" s="1242"/>
      <c r="G158" s="1242"/>
      <c r="H158" s="1242"/>
      <c r="I158" s="1242"/>
      <c r="J158" s="1242"/>
      <c r="K158" s="1242"/>
      <c r="L158" s="1242"/>
      <c r="M158" s="1211"/>
      <c r="N158" s="1211"/>
      <c r="O158" s="1211"/>
      <c r="P158" s="1211"/>
      <c r="Q158" s="1211"/>
      <c r="R158" s="1211"/>
      <c r="S158" s="1205"/>
      <c r="T158" s="1205"/>
      <c r="U158" s="1205"/>
      <c r="V158" s="1205"/>
      <c r="W158" s="1205"/>
      <c r="X158" s="1212"/>
    </row>
    <row r="159" spans="2:24" x14ac:dyDescent="0.35">
      <c r="P159" s="1184"/>
      <c r="S159" s="1243"/>
      <c r="T159" s="1243"/>
      <c r="U159" s="1243"/>
      <c r="V159" s="1243"/>
      <c r="W159" s="1243"/>
    </row>
    <row r="160" spans="2:24" x14ac:dyDescent="0.35">
      <c r="S160" s="1244">
        <v>0</v>
      </c>
      <c r="T160" s="1244">
        <v>0</v>
      </c>
      <c r="U160" s="1244">
        <v>0</v>
      </c>
      <c r="V160" s="1244">
        <v>0</v>
      </c>
      <c r="W160" s="1244">
        <v>0</v>
      </c>
    </row>
    <row r="161" spans="1:23" x14ac:dyDescent="0.35">
      <c r="S161" s="1243"/>
      <c r="T161" s="1243"/>
      <c r="U161" s="1243"/>
      <c r="V161" s="1243"/>
      <c r="W161" s="1243"/>
    </row>
    <row r="162" spans="1:23" x14ac:dyDescent="0.35">
      <c r="S162" s="1243"/>
      <c r="T162" s="1243"/>
      <c r="U162" s="1243"/>
      <c r="V162" s="1243"/>
      <c r="W162" s="1243"/>
    </row>
    <row r="163" spans="1:23" ht="16" thickBot="1" x14ac:dyDescent="0.4">
      <c r="B163" s="1365" t="s">
        <v>1746</v>
      </c>
      <c r="S163" s="1243"/>
      <c r="T163" s="1243"/>
      <c r="U163" s="1243"/>
      <c r="V163" s="1243"/>
      <c r="W163" s="1243"/>
    </row>
    <row r="164" spans="1:23" ht="16" thickBot="1" x14ac:dyDescent="0.4">
      <c r="A164" s="1215"/>
      <c r="B164" s="1245" t="s">
        <v>605</v>
      </c>
      <c r="D164" s="1215"/>
      <c r="E164" s="1246"/>
      <c r="S164" s="1243"/>
      <c r="T164" s="1243"/>
      <c r="U164" s="1243"/>
      <c r="V164" s="1243"/>
      <c r="W164" s="1243"/>
    </row>
    <row r="165" spans="1:23" ht="16" thickBot="1" x14ac:dyDescent="0.4">
      <c r="A165" s="1215"/>
      <c r="B165" s="1247" t="s">
        <v>1602</v>
      </c>
      <c r="D165" s="1215"/>
      <c r="E165" s="1246"/>
      <c r="S165" s="1243"/>
      <c r="T165" s="1243"/>
      <c r="U165" s="1243"/>
      <c r="V165" s="1243"/>
      <c r="W165" s="1243"/>
    </row>
    <row r="166" spans="1:23" x14ac:dyDescent="0.35">
      <c r="A166" s="1215"/>
      <c r="B166" s="1215"/>
      <c r="C166" s="1215"/>
      <c r="D166" s="1215"/>
      <c r="E166" s="1134" t="s">
        <v>1626</v>
      </c>
      <c r="F166" s="1134" t="s">
        <v>1627</v>
      </c>
      <c r="G166" s="1134" t="s">
        <v>1628</v>
      </c>
      <c r="H166" s="1134" t="s">
        <v>1629</v>
      </c>
      <c r="I166" s="1134" t="s">
        <v>1630</v>
      </c>
      <c r="S166" s="1243"/>
      <c r="T166" s="1243"/>
      <c r="U166" s="1243"/>
      <c r="V166" s="1243"/>
      <c r="W166" s="1243"/>
    </row>
    <row r="167" spans="1:23" x14ac:dyDescent="0.35">
      <c r="A167" s="1215"/>
      <c r="B167" s="1248" t="s">
        <v>425</v>
      </c>
      <c r="C167" s="1248" t="s">
        <v>38</v>
      </c>
      <c r="E167" s="1366"/>
      <c r="F167" s="1367"/>
      <c r="G167" s="1367"/>
      <c r="H167" s="1367"/>
      <c r="I167" s="1367"/>
      <c r="S167" s="1243"/>
      <c r="T167" s="1243"/>
      <c r="U167" s="1243"/>
      <c r="V167" s="1243"/>
      <c r="W167" s="1243"/>
    </row>
    <row r="168" spans="1:23" x14ac:dyDescent="0.35">
      <c r="A168" s="1215"/>
      <c r="B168" s="1248">
        <v>1</v>
      </c>
      <c r="C168" s="1248" t="s">
        <v>1603</v>
      </c>
      <c r="E168" s="1368"/>
      <c r="F168" s="1367"/>
      <c r="G168" s="1367"/>
      <c r="H168" s="1367"/>
      <c r="I168" s="1367"/>
      <c r="S168" s="1243"/>
      <c r="T168" s="1243"/>
      <c r="U168" s="1243"/>
      <c r="V168" s="1243"/>
      <c r="W168" s="1243"/>
    </row>
    <row r="169" spans="1:23" x14ac:dyDescent="0.35">
      <c r="A169" s="1215"/>
      <c r="B169" s="1248">
        <f>B168+1</f>
        <v>2</v>
      </c>
      <c r="C169" s="1248" t="s">
        <v>1604</v>
      </c>
      <c r="E169" s="1369"/>
      <c r="F169" s="1367"/>
      <c r="G169" s="1367"/>
      <c r="H169" s="1367"/>
      <c r="I169" s="1367"/>
      <c r="S169" s="1243"/>
      <c r="T169" s="1243"/>
      <c r="U169" s="1243"/>
      <c r="V169" s="1243"/>
      <c r="W169" s="1243"/>
    </row>
    <row r="170" spans="1:23" x14ac:dyDescent="0.35">
      <c r="A170" s="1215"/>
      <c r="B170" s="1248">
        <f t="shared" ref="B170:B176" si="172">B169+1</f>
        <v>3</v>
      </c>
      <c r="C170" s="1248" t="s">
        <v>1605</v>
      </c>
      <c r="E170" s="1370"/>
      <c r="F170" s="1367"/>
      <c r="G170" s="1367"/>
      <c r="H170" s="1367"/>
      <c r="I170" s="1367"/>
      <c r="S170" s="1243"/>
      <c r="T170" s="1243"/>
      <c r="U170" s="1243"/>
      <c r="V170" s="1243"/>
      <c r="W170" s="1243"/>
    </row>
    <row r="171" spans="1:23" x14ac:dyDescent="0.35">
      <c r="A171" s="1249">
        <v>7.4999999999999997E-3</v>
      </c>
      <c r="B171" s="1248">
        <f t="shared" si="172"/>
        <v>4</v>
      </c>
      <c r="C171" s="1248" t="s">
        <v>1606</v>
      </c>
      <c r="E171" s="1371"/>
      <c r="F171" s="1367"/>
      <c r="G171" s="1367"/>
      <c r="H171" s="1367"/>
      <c r="I171" s="1367"/>
      <c r="S171" s="1243"/>
      <c r="T171" s="1243"/>
      <c r="U171" s="1243"/>
      <c r="V171" s="1243"/>
      <c r="W171" s="1243"/>
    </row>
    <row r="172" spans="1:23" x14ac:dyDescent="0.35">
      <c r="A172" s="1215"/>
      <c r="B172" s="1248">
        <f t="shared" si="172"/>
        <v>5</v>
      </c>
      <c r="C172" s="1248" t="s">
        <v>1607</v>
      </c>
      <c r="E172" s="1372"/>
      <c r="F172" s="1367"/>
      <c r="G172" s="1367"/>
      <c r="H172" s="1367"/>
      <c r="I172" s="1367"/>
      <c r="S172" s="1243"/>
      <c r="T172" s="1243"/>
      <c r="U172" s="1243"/>
      <c r="V172" s="1243"/>
      <c r="W172" s="1243"/>
    </row>
    <row r="173" spans="1:23" ht="45" x14ac:dyDescent="0.35">
      <c r="A173" s="1215"/>
      <c r="B173" s="1248">
        <f t="shared" si="172"/>
        <v>6</v>
      </c>
      <c r="C173" s="1248" t="s">
        <v>1608</v>
      </c>
      <c r="E173" s="1368"/>
      <c r="F173" s="1367"/>
      <c r="G173" s="1367"/>
      <c r="H173" s="1367"/>
      <c r="I173" s="1367"/>
      <c r="S173" s="1243"/>
      <c r="T173" s="1243"/>
      <c r="U173" s="1243"/>
      <c r="V173" s="1243"/>
      <c r="W173" s="1243"/>
    </row>
    <row r="174" spans="1:23" ht="30" x14ac:dyDescent="0.35">
      <c r="A174" s="1215"/>
      <c r="B174" s="1248">
        <f t="shared" si="172"/>
        <v>7</v>
      </c>
      <c r="C174" s="1248" t="s">
        <v>1609</v>
      </c>
      <c r="E174" s="1368"/>
      <c r="F174" s="1367"/>
      <c r="G174" s="1367"/>
      <c r="H174" s="1367"/>
      <c r="I174" s="1367"/>
      <c r="S174" s="1243"/>
      <c r="T174" s="1243"/>
      <c r="U174" s="1243"/>
      <c r="V174" s="1243"/>
      <c r="W174" s="1243"/>
    </row>
    <row r="175" spans="1:23" x14ac:dyDescent="0.35">
      <c r="A175" s="1215"/>
      <c r="B175" s="1248">
        <f t="shared" si="172"/>
        <v>8</v>
      </c>
      <c r="C175" s="1248" t="s">
        <v>1610</v>
      </c>
      <c r="E175" s="1368"/>
      <c r="F175" s="1367"/>
      <c r="G175" s="1367"/>
      <c r="H175" s="1367"/>
      <c r="I175" s="1367"/>
      <c r="S175" s="1243"/>
      <c r="T175" s="1243"/>
      <c r="U175" s="1243"/>
      <c r="V175" s="1243"/>
      <c r="W175" s="1243"/>
    </row>
    <row r="176" spans="1:23" ht="30" x14ac:dyDescent="0.35">
      <c r="A176" s="1215"/>
      <c r="B176" s="1248">
        <f t="shared" si="172"/>
        <v>9</v>
      </c>
      <c r="C176" s="1248" t="s">
        <v>1611</v>
      </c>
      <c r="E176" s="1372"/>
      <c r="F176" s="1367"/>
      <c r="G176" s="1367"/>
      <c r="H176" s="1367"/>
      <c r="I176" s="1367"/>
      <c r="S176" s="1243"/>
      <c r="T176" s="1243"/>
      <c r="U176" s="1243"/>
      <c r="V176" s="1243"/>
      <c r="W176" s="1243"/>
    </row>
    <row r="177" spans="1:23" x14ac:dyDescent="0.35">
      <c r="A177" s="1215"/>
      <c r="B177" s="1248">
        <f>B176+1</f>
        <v>10</v>
      </c>
      <c r="C177" s="1248" t="s">
        <v>1612</v>
      </c>
      <c r="E177" s="1373"/>
      <c r="F177" s="1367"/>
      <c r="G177" s="1367"/>
      <c r="H177" s="1367"/>
      <c r="I177" s="1367"/>
      <c r="S177" s="1243"/>
      <c r="T177" s="1243"/>
      <c r="U177" s="1243"/>
      <c r="V177" s="1243"/>
      <c r="W177" s="1243"/>
    </row>
    <row r="178" spans="1:23" ht="30" x14ac:dyDescent="0.35">
      <c r="A178" s="1215"/>
      <c r="B178" s="1248">
        <f>B177+1</f>
        <v>11</v>
      </c>
      <c r="C178" s="1248" t="s">
        <v>1613</v>
      </c>
      <c r="E178" s="1374"/>
      <c r="F178" s="1367"/>
      <c r="G178" s="1367"/>
      <c r="H178" s="1367"/>
      <c r="I178" s="1367"/>
      <c r="S178" s="1243"/>
      <c r="T178" s="1243"/>
      <c r="U178" s="1243"/>
      <c r="V178" s="1243"/>
      <c r="W178" s="1243"/>
    </row>
    <row r="179" spans="1:23" x14ac:dyDescent="0.35">
      <c r="A179" s="1250"/>
      <c r="B179" s="1251"/>
      <c r="C179" s="1251"/>
      <c r="E179" s="1375"/>
      <c r="F179" s="1243"/>
      <c r="G179" s="1243"/>
      <c r="H179" s="1243"/>
      <c r="I179" s="1243"/>
      <c r="S179" s="1243"/>
      <c r="T179" s="1243"/>
      <c r="U179" s="1243"/>
      <c r="V179" s="1243"/>
      <c r="W179" s="1243"/>
    </row>
    <row r="180" spans="1:23" x14ac:dyDescent="0.35">
      <c r="A180" s="1215"/>
      <c r="B180" s="1251"/>
      <c r="C180" s="1251"/>
      <c r="E180" s="1375"/>
      <c r="F180" s="1243"/>
      <c r="G180" s="1243"/>
      <c r="H180" s="1243"/>
      <c r="I180" s="1243"/>
      <c r="S180" s="1243"/>
      <c r="T180" s="1243"/>
      <c r="U180" s="1243"/>
      <c r="V180" s="1243"/>
      <c r="W180" s="1243"/>
    </row>
    <row r="181" spans="1:23" ht="30" x14ac:dyDescent="0.35">
      <c r="A181" s="1215"/>
      <c r="B181" s="1248" t="s">
        <v>425</v>
      </c>
      <c r="C181" s="1248" t="s">
        <v>1614</v>
      </c>
      <c r="E181" s="1366"/>
      <c r="F181" s="1367"/>
      <c r="G181" s="1367"/>
      <c r="H181" s="1367"/>
      <c r="I181" s="1367"/>
      <c r="S181" s="1243"/>
      <c r="T181" s="1243"/>
      <c r="U181" s="1243"/>
      <c r="V181" s="1243"/>
      <c r="W181" s="1243"/>
    </row>
    <row r="182" spans="1:23" x14ac:dyDescent="0.35">
      <c r="A182" s="1215"/>
      <c r="B182" s="1248">
        <v>1</v>
      </c>
      <c r="C182" s="1248" t="s">
        <v>1615</v>
      </c>
      <c r="E182" s="1376"/>
      <c r="F182" s="1367"/>
      <c r="G182" s="1367"/>
      <c r="H182" s="1367"/>
      <c r="I182" s="1367"/>
      <c r="S182" s="1243"/>
      <c r="T182" s="1243"/>
      <c r="U182" s="1243"/>
      <c r="V182" s="1243"/>
      <c r="W182" s="1243"/>
    </row>
    <row r="183" spans="1:23" x14ac:dyDescent="0.35">
      <c r="A183" s="1215"/>
      <c r="B183" s="1248">
        <f>B182+1</f>
        <v>2</v>
      </c>
      <c r="C183" s="1248" t="s">
        <v>1616</v>
      </c>
      <c r="E183" s="1368"/>
      <c r="F183" s="1367"/>
      <c r="G183" s="1367"/>
      <c r="H183" s="1367"/>
      <c r="I183" s="1367"/>
      <c r="S183" s="1243"/>
      <c r="T183" s="1243"/>
      <c r="U183" s="1243"/>
      <c r="V183" s="1243"/>
      <c r="W183" s="1243"/>
    </row>
    <row r="184" spans="1:23" ht="30" x14ac:dyDescent="0.35">
      <c r="A184" s="1215"/>
      <c r="B184" s="1248">
        <f t="shared" ref="B184:B187" si="173">B183+1</f>
        <v>3</v>
      </c>
      <c r="C184" s="1248" t="s">
        <v>1613</v>
      </c>
      <c r="E184" s="1373"/>
      <c r="F184" s="1367"/>
      <c r="G184" s="1367"/>
      <c r="H184" s="1367"/>
      <c r="I184" s="1367"/>
      <c r="S184" s="1243"/>
      <c r="T184" s="1243"/>
      <c r="U184" s="1243"/>
      <c r="V184" s="1243"/>
      <c r="W184" s="1243"/>
    </row>
    <row r="185" spans="1:23" x14ac:dyDescent="0.35">
      <c r="A185" s="1215"/>
      <c r="B185" s="1248">
        <f t="shared" si="173"/>
        <v>4</v>
      </c>
      <c r="C185" s="1248" t="s">
        <v>1617</v>
      </c>
      <c r="E185" s="1368"/>
      <c r="F185" s="1367"/>
      <c r="G185" s="1367"/>
      <c r="H185" s="1367"/>
      <c r="I185" s="1367"/>
    </row>
    <row r="186" spans="1:23" x14ac:dyDescent="0.35">
      <c r="A186" s="1215"/>
      <c r="B186" s="1248">
        <f t="shared" si="173"/>
        <v>5</v>
      </c>
      <c r="C186" s="1248" t="s">
        <v>1618</v>
      </c>
      <c r="E186" s="1368"/>
      <c r="F186" s="1367"/>
      <c r="G186" s="1367"/>
      <c r="H186" s="1367"/>
      <c r="I186" s="1367"/>
    </row>
    <row r="187" spans="1:23" ht="30" x14ac:dyDescent="0.35">
      <c r="A187" s="1215"/>
      <c r="B187" s="1248">
        <f t="shared" si="173"/>
        <v>6</v>
      </c>
      <c r="C187" s="1248" t="s">
        <v>1619</v>
      </c>
      <c r="E187" s="1370"/>
      <c r="F187" s="1367"/>
      <c r="G187" s="1367"/>
      <c r="H187" s="1367"/>
      <c r="I187" s="1367"/>
    </row>
    <row r="188" spans="1:23" x14ac:dyDescent="0.35">
      <c r="A188" s="1215"/>
      <c r="B188" s="1251"/>
      <c r="C188" s="1251"/>
      <c r="E188" s="1375"/>
      <c r="F188" s="1243"/>
      <c r="G188" s="1243"/>
      <c r="H188" s="1243"/>
      <c r="I188" s="1243"/>
    </row>
    <row r="189" spans="1:23" x14ac:dyDescent="0.35">
      <c r="A189" s="1215"/>
      <c r="B189" s="1251"/>
      <c r="C189" s="1251"/>
      <c r="E189" s="1375"/>
      <c r="F189" s="1243"/>
      <c r="G189" s="1243"/>
      <c r="H189" s="1243"/>
      <c r="I189" s="1243"/>
    </row>
    <row r="190" spans="1:23" ht="30" x14ac:dyDescent="0.35">
      <c r="A190" s="1215"/>
      <c r="B190" s="1248" t="s">
        <v>425</v>
      </c>
      <c r="C190" s="1248" t="s">
        <v>1620</v>
      </c>
      <c r="E190" s="1366"/>
      <c r="F190" s="1367"/>
      <c r="G190" s="1367"/>
      <c r="H190" s="1367"/>
      <c r="I190" s="1367"/>
    </row>
    <row r="191" spans="1:23" x14ac:dyDescent="0.35">
      <c r="A191" s="1215"/>
      <c r="B191" s="1248">
        <v>1</v>
      </c>
      <c r="C191" s="1248" t="s">
        <v>1615</v>
      </c>
      <c r="E191" s="1370"/>
      <c r="F191" s="1367"/>
      <c r="G191" s="1367"/>
      <c r="H191" s="1367"/>
      <c r="I191" s="1367"/>
    </row>
    <row r="192" spans="1:23" x14ac:dyDescent="0.35">
      <c r="A192" s="1215"/>
      <c r="B192" s="1248">
        <f>B191+1</f>
        <v>2</v>
      </c>
      <c r="C192" s="1248" t="s">
        <v>1616</v>
      </c>
      <c r="E192" s="1368"/>
      <c r="F192" s="1367"/>
      <c r="G192" s="1367"/>
      <c r="H192" s="1367"/>
      <c r="I192" s="1367"/>
    </row>
    <row r="193" spans="1:9" ht="30" x14ac:dyDescent="0.35">
      <c r="A193" s="1215"/>
      <c r="B193" s="1248">
        <f t="shared" ref="B193:B196" si="174">B192+1</f>
        <v>3</v>
      </c>
      <c r="C193" s="1248" t="s">
        <v>1621</v>
      </c>
      <c r="E193" s="1368"/>
      <c r="F193" s="1367"/>
      <c r="G193" s="1367"/>
      <c r="H193" s="1367"/>
      <c r="I193" s="1367"/>
    </row>
    <row r="194" spans="1:9" x14ac:dyDescent="0.35">
      <c r="A194" s="1215"/>
      <c r="B194" s="1248">
        <f t="shared" si="174"/>
        <v>4</v>
      </c>
      <c r="C194" s="1248" t="s">
        <v>1622</v>
      </c>
      <c r="E194" s="1368"/>
      <c r="F194" s="1367"/>
      <c r="G194" s="1367"/>
      <c r="H194" s="1367"/>
      <c r="I194" s="1367"/>
    </row>
    <row r="195" spans="1:9" x14ac:dyDescent="0.35">
      <c r="A195" s="1215"/>
      <c r="B195" s="1248">
        <f t="shared" si="174"/>
        <v>5</v>
      </c>
      <c r="C195" s="1248" t="s">
        <v>1623</v>
      </c>
      <c r="E195" s="1368"/>
      <c r="F195" s="1367"/>
      <c r="G195" s="1367"/>
      <c r="H195" s="1367"/>
      <c r="I195" s="1367"/>
    </row>
    <row r="196" spans="1:9" ht="30" x14ac:dyDescent="0.35">
      <c r="A196" s="1215"/>
      <c r="B196" s="1248">
        <f t="shared" si="174"/>
        <v>6</v>
      </c>
      <c r="C196" s="1248" t="s">
        <v>1624</v>
      </c>
      <c r="E196" s="1370"/>
      <c r="F196" s="1367"/>
      <c r="G196" s="1367"/>
      <c r="H196" s="1367"/>
      <c r="I196" s="1367"/>
    </row>
    <row r="197" spans="1:9" x14ac:dyDescent="0.35">
      <c r="E197" s="1243"/>
      <c r="F197" s="1243"/>
      <c r="G197" s="1243"/>
      <c r="H197" s="1243"/>
      <c r="I197" s="1243"/>
    </row>
    <row r="198" spans="1:9" x14ac:dyDescent="0.35">
      <c r="B198" s="1211"/>
      <c r="C198" s="1211" t="s">
        <v>1625</v>
      </c>
      <c r="D198" s="1211"/>
      <c r="E198" s="1252">
        <f>E187+E196</f>
        <v>0</v>
      </c>
      <c r="F198" s="1252">
        <f t="shared" ref="F198:I198" si="175">F187+F196</f>
        <v>0</v>
      </c>
      <c r="G198" s="1252">
        <f t="shared" si="175"/>
        <v>0</v>
      </c>
      <c r="H198" s="1252">
        <f t="shared" si="175"/>
        <v>0</v>
      </c>
      <c r="I198" s="1252">
        <f t="shared" si="175"/>
        <v>0</v>
      </c>
    </row>
    <row r="201" spans="1:9" ht="18.5" x14ac:dyDescent="0.35">
      <c r="B201" s="1253"/>
      <c r="C201" s="1254" t="s">
        <v>1688</v>
      </c>
      <c r="D201" s="1255"/>
      <c r="E201" s="1255"/>
    </row>
    <row r="202" spans="1:9" ht="18.5" x14ac:dyDescent="0.35">
      <c r="B202" s="1256" t="s">
        <v>1689</v>
      </c>
      <c r="C202" s="1257"/>
      <c r="D202" s="1258"/>
      <c r="E202" s="1258"/>
    </row>
    <row r="203" spans="1:9" ht="18.5" x14ac:dyDescent="0.35">
      <c r="B203" s="1259">
        <v>1</v>
      </c>
      <c r="C203" s="1260" t="s">
        <v>1690</v>
      </c>
      <c r="D203" s="1258"/>
      <c r="E203" s="1258"/>
    </row>
    <row r="204" spans="1:9" ht="18.5" x14ac:dyDescent="0.35">
      <c r="B204" s="1259">
        <v>2</v>
      </c>
      <c r="C204" s="1261" t="s">
        <v>1691</v>
      </c>
      <c r="D204" s="1258"/>
      <c r="E204" s="1258"/>
    </row>
    <row r="205" spans="1:9" x14ac:dyDescent="0.35">
      <c r="B205" s="1259">
        <v>3</v>
      </c>
      <c r="C205" s="1260" t="s">
        <v>1692</v>
      </c>
      <c r="D205" s="1262"/>
      <c r="E205" s="1262"/>
    </row>
  </sheetData>
  <mergeCells count="14">
    <mergeCell ref="S6:W6"/>
    <mergeCell ref="N2:X2"/>
    <mergeCell ref="N3:X3"/>
    <mergeCell ref="N4:X4"/>
    <mergeCell ref="B6:B8"/>
    <mergeCell ref="C6:C8"/>
    <mergeCell ref="D6:D8"/>
    <mergeCell ref="X6:X8"/>
    <mergeCell ref="B2:L2"/>
    <mergeCell ref="B3:L3"/>
    <mergeCell ref="E6:H6"/>
    <mergeCell ref="I6:L6"/>
    <mergeCell ref="M6:R6"/>
    <mergeCell ref="B4:L4"/>
  </mergeCells>
  <phoneticPr fontId="20" type="noConversion"/>
  <dataValidations disablePrompts="1" count="1">
    <dataValidation type="list" allowBlank="1" showInputMessage="1" showErrorMessage="1" sqref="E173" xr:uid="{00000000-0002-0000-0500-000000000000}">
      <formula1>$Y$3:$Y$5</formula1>
    </dataValidation>
  </dataValidations>
  <printOptions horizontalCentered="1" verticalCentered="1"/>
  <pageMargins left="0.19685039370078741" right="0.11811023622047245" top="3.937007874015748E-2" bottom="0" header="0.51181102362204722" footer="0.34"/>
  <pageSetup paperSize="9" scale="47" fitToHeight="0" orientation="landscape" r:id="rId1"/>
  <headerFooter alignWithMargins="0"/>
  <rowBreaks count="2" manualBreakCount="2">
    <brk id="67" max="16383" man="1"/>
    <brk id="125" max="16383" man="1"/>
  </rowBreaks>
  <colBreaks count="2" manualBreakCount="2">
    <brk id="13" max="1048575" man="1"/>
    <brk id="19" max="209"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U148"/>
  <sheetViews>
    <sheetView showGridLines="0" view="pageBreakPreview" zoomScale="60" zoomScaleNormal="75" workbookViewId="0">
      <pane xSplit="4" ySplit="9" topLeftCell="E66" activePane="bottomRight" state="frozen"/>
      <selection activeCell="I36" sqref="I36"/>
      <selection pane="topRight" activeCell="I36" sqref="I36"/>
      <selection pane="bottomLeft" activeCell="I36" sqref="I36"/>
      <selection pane="bottomRight" activeCell="M54" sqref="M54"/>
    </sheetView>
  </sheetViews>
  <sheetFormatPr defaultColWidth="9.36328125" defaultRowHeight="14" x14ac:dyDescent="0.3"/>
  <cols>
    <col min="1" max="1" width="3.36328125" style="5" customWidth="1"/>
    <col min="2" max="2" width="8" style="5" customWidth="1"/>
    <col min="3" max="3" width="28.54296875" style="5" customWidth="1"/>
    <col min="4" max="5" width="15.6328125" style="5" customWidth="1"/>
    <col min="6" max="6" width="30.36328125" style="5" customWidth="1"/>
    <col min="7" max="7" width="26" style="5" bestFit="1" customWidth="1"/>
    <col min="8" max="8" width="19.81640625" style="5" bestFit="1" customWidth="1"/>
    <col min="9" max="10" width="15.6328125" style="5" customWidth="1"/>
    <col min="11" max="11" width="16.36328125" style="5" customWidth="1"/>
    <col min="12" max="14" width="15.6328125" style="5" customWidth="1"/>
    <col min="15" max="15" width="25.08984375" style="5" bestFit="1" customWidth="1"/>
    <col min="16" max="21" width="15.6328125" style="5" customWidth="1"/>
    <col min="22" max="16384" width="9.36328125" style="5"/>
  </cols>
  <sheetData>
    <row r="2" spans="2:21" x14ac:dyDescent="0.3">
      <c r="B2" s="1598" t="str">
        <f>Index!B2</f>
        <v xml:space="preserve">      Maharashtra State Power Generation Company Ltd.</v>
      </c>
      <c r="C2" s="1598"/>
      <c r="D2" s="1598"/>
      <c r="E2" s="1598"/>
      <c r="F2" s="1598"/>
      <c r="G2" s="1598"/>
      <c r="H2" s="1598"/>
      <c r="I2" s="1598"/>
      <c r="J2" s="1598"/>
      <c r="K2" s="1638" t="str">
        <f>B2</f>
        <v xml:space="preserve">      Maharashtra State Power Generation Company Ltd.</v>
      </c>
      <c r="L2" s="1638"/>
      <c r="M2" s="1638"/>
      <c r="N2" s="1638"/>
      <c r="O2" s="1638"/>
      <c r="P2" s="1638"/>
      <c r="Q2" s="1638"/>
      <c r="R2" s="1638"/>
      <c r="S2" s="1638"/>
      <c r="T2" s="1638"/>
      <c r="U2" s="1638"/>
    </row>
    <row r="3" spans="2:21" x14ac:dyDescent="0.3">
      <c r="B3" s="1598" t="str">
        <f>Index!B3</f>
        <v>MYT Petition Formats for Bhusawal Unit 3</v>
      </c>
      <c r="C3" s="1598"/>
      <c r="D3" s="1598"/>
      <c r="E3" s="1598"/>
      <c r="F3" s="1598"/>
      <c r="G3" s="1598"/>
      <c r="H3" s="1598"/>
      <c r="I3" s="1598"/>
      <c r="J3" s="1598"/>
      <c r="K3" s="1638" t="str">
        <f>B3</f>
        <v>MYT Petition Formats for Bhusawal Unit 3</v>
      </c>
      <c r="L3" s="1638"/>
      <c r="M3" s="1638"/>
      <c r="N3" s="1638"/>
      <c r="O3" s="1638"/>
      <c r="P3" s="1638"/>
      <c r="Q3" s="1638"/>
      <c r="R3" s="1638"/>
      <c r="S3" s="1638"/>
      <c r="T3" s="1638"/>
      <c r="U3" s="1638"/>
    </row>
    <row r="4" spans="2:21" x14ac:dyDescent="0.3">
      <c r="B4" s="1598" t="s">
        <v>383</v>
      </c>
      <c r="C4" s="1598"/>
      <c r="D4" s="1598"/>
      <c r="E4" s="1598"/>
      <c r="F4" s="1598"/>
      <c r="G4" s="1598"/>
      <c r="H4" s="1598"/>
      <c r="I4" s="1598"/>
      <c r="J4" s="1598"/>
      <c r="K4" s="1638" t="str">
        <f>B4</f>
        <v>Form 2.3: Fuel Cost Details for Thermal Generation</v>
      </c>
      <c r="L4" s="1638"/>
      <c r="M4" s="1638"/>
      <c r="N4" s="1638"/>
      <c r="O4" s="1638"/>
      <c r="P4" s="1638"/>
      <c r="Q4" s="1638"/>
      <c r="R4" s="1638"/>
      <c r="S4" s="1638"/>
      <c r="T4" s="1638"/>
      <c r="U4" s="1638"/>
    </row>
    <row r="5" spans="2:21" x14ac:dyDescent="0.3">
      <c r="B5" s="180"/>
      <c r="C5" s="112"/>
      <c r="D5" s="112"/>
      <c r="E5" s="112"/>
      <c r="F5" s="112"/>
      <c r="G5" s="112"/>
      <c r="H5" s="112"/>
      <c r="I5" s="112"/>
      <c r="J5" s="112"/>
      <c r="K5" s="112"/>
      <c r="L5" s="112"/>
      <c r="M5" s="112"/>
      <c r="N5" s="112"/>
      <c r="O5" s="112"/>
      <c r="P5" s="112"/>
      <c r="Q5" s="112"/>
      <c r="R5" s="112"/>
      <c r="S5" s="112"/>
      <c r="T5" s="112"/>
      <c r="U5" s="112"/>
    </row>
    <row r="6" spans="2:21" x14ac:dyDescent="0.3">
      <c r="B6" s="48"/>
      <c r="C6" s="17"/>
      <c r="D6" s="18"/>
      <c r="E6" s="18"/>
      <c r="F6" s="18"/>
      <c r="G6" s="18"/>
      <c r="H6" s="18"/>
      <c r="I6" s="18"/>
      <c r="J6" s="18"/>
      <c r="K6" s="18"/>
      <c r="L6" s="18"/>
      <c r="M6" s="18"/>
    </row>
    <row r="7" spans="2:21" s="35" customFormat="1" ht="15" x14ac:dyDescent="0.3">
      <c r="B7" s="1639" t="s">
        <v>340</v>
      </c>
      <c r="C7" s="1641" t="s">
        <v>38</v>
      </c>
      <c r="D7" s="1641" t="s">
        <v>140</v>
      </c>
      <c r="E7" s="1595" t="s">
        <v>505</v>
      </c>
      <c r="F7" s="1596"/>
      <c r="G7" s="1597"/>
      <c r="H7" s="1595" t="s">
        <v>506</v>
      </c>
      <c r="I7" s="1596"/>
      <c r="J7" s="1597"/>
      <c r="K7" s="1595" t="s">
        <v>507</v>
      </c>
      <c r="L7" s="1596"/>
      <c r="M7" s="1596"/>
      <c r="N7" s="1596"/>
      <c r="O7" s="1597"/>
      <c r="P7" s="1630" t="s">
        <v>1066</v>
      </c>
      <c r="Q7" s="1630"/>
      <c r="R7" s="1630"/>
      <c r="S7" s="1630"/>
      <c r="T7" s="1630"/>
      <c r="U7" s="1600" t="s">
        <v>28</v>
      </c>
    </row>
    <row r="8" spans="2:21" s="36" customFormat="1" ht="44.25" customHeight="1" x14ac:dyDescent="0.25">
      <c r="B8" s="1639"/>
      <c r="C8" s="1641"/>
      <c r="D8" s="1641"/>
      <c r="E8" s="286" t="s">
        <v>916</v>
      </c>
      <c r="F8" s="287" t="s">
        <v>80</v>
      </c>
      <c r="G8" s="287" t="s">
        <v>449</v>
      </c>
      <c r="H8" s="684" t="s">
        <v>916</v>
      </c>
      <c r="I8" s="287" t="s">
        <v>80</v>
      </c>
      <c r="J8" s="287" t="s">
        <v>449</v>
      </c>
      <c r="K8" s="684" t="s">
        <v>916</v>
      </c>
      <c r="L8" s="287" t="s">
        <v>443</v>
      </c>
      <c r="M8" s="287" t="s">
        <v>447</v>
      </c>
      <c r="N8" s="287" t="s">
        <v>81</v>
      </c>
      <c r="O8" s="287" t="s">
        <v>450</v>
      </c>
      <c r="P8" s="646" t="s">
        <v>1067</v>
      </c>
      <c r="Q8" s="646" t="s">
        <v>1068</v>
      </c>
      <c r="R8" s="646" t="s">
        <v>1069</v>
      </c>
      <c r="S8" s="646" t="s">
        <v>1070</v>
      </c>
      <c r="T8" s="646" t="s">
        <v>1071</v>
      </c>
      <c r="U8" s="1601"/>
    </row>
    <row r="9" spans="2:21" s="36" customFormat="1" ht="15" x14ac:dyDescent="0.25">
      <c r="B9" s="1640"/>
      <c r="C9" s="1604"/>
      <c r="D9" s="1604"/>
      <c r="E9" s="287" t="s">
        <v>82</v>
      </c>
      <c r="F9" s="287" t="s">
        <v>83</v>
      </c>
      <c r="G9" s="287" t="s">
        <v>675</v>
      </c>
      <c r="H9" s="287" t="s">
        <v>391</v>
      </c>
      <c r="I9" s="287" t="s">
        <v>409</v>
      </c>
      <c r="J9" s="287" t="s">
        <v>454</v>
      </c>
      <c r="K9" s="287" t="s">
        <v>410</v>
      </c>
      <c r="L9" s="287" t="s">
        <v>411</v>
      </c>
      <c r="M9" s="287" t="s">
        <v>588</v>
      </c>
      <c r="N9" s="287" t="s">
        <v>676</v>
      </c>
      <c r="O9" s="287" t="s">
        <v>1083</v>
      </c>
      <c r="P9" s="646" t="s">
        <v>21</v>
      </c>
      <c r="Q9" s="646" t="s">
        <v>21</v>
      </c>
      <c r="R9" s="646" t="s">
        <v>21</v>
      </c>
      <c r="S9" s="646" t="s">
        <v>21</v>
      </c>
      <c r="T9" s="646" t="s">
        <v>21</v>
      </c>
      <c r="U9" s="1642"/>
    </row>
    <row r="10" spans="2:21" s="36" customFormat="1" ht="15.5" x14ac:dyDescent="0.25">
      <c r="B10" s="337" t="s">
        <v>173</v>
      </c>
      <c r="C10" s="338" t="s">
        <v>783</v>
      </c>
      <c r="D10" s="382"/>
      <c r="E10" s="382"/>
      <c r="F10" s="382"/>
      <c r="G10" s="382"/>
      <c r="H10" s="382"/>
      <c r="I10" s="382"/>
      <c r="J10" s="382"/>
      <c r="K10" s="376"/>
      <c r="L10" s="376"/>
      <c r="M10" s="376"/>
      <c r="N10" s="376"/>
      <c r="O10" s="376"/>
      <c r="P10" s="376"/>
      <c r="Q10" s="376"/>
      <c r="R10" s="376"/>
      <c r="S10" s="376"/>
      <c r="T10" s="376"/>
      <c r="U10" s="376"/>
    </row>
    <row r="11" spans="2:21" s="404" customFormat="1" ht="15.5" x14ac:dyDescent="0.35">
      <c r="B11" s="402">
        <v>1</v>
      </c>
      <c r="C11" s="383" t="s">
        <v>141</v>
      </c>
      <c r="D11" s="446" t="s">
        <v>118</v>
      </c>
      <c r="E11" s="692">
        <f>F11</f>
        <v>1727.4590000000001</v>
      </c>
      <c r="F11" s="690">
        <v>1727.4590000000001</v>
      </c>
      <c r="G11" s="690">
        <f>F11-E11</f>
        <v>0</v>
      </c>
      <c r="H11" s="692">
        <f>I11</f>
        <v>1860.04</v>
      </c>
      <c r="I11" s="782">
        <v>1860.04</v>
      </c>
      <c r="J11" s="690">
        <f>I11-H11</f>
        <v>0</v>
      </c>
      <c r="K11" s="692"/>
      <c r="L11" s="787">
        <v>1948.4359696398783</v>
      </c>
      <c r="M11" s="787"/>
      <c r="N11" s="695"/>
      <c r="O11" s="483">
        <f>N11-K11</f>
        <v>0</v>
      </c>
      <c r="P11" s="1031"/>
      <c r="Q11" s="1034"/>
      <c r="R11" s="1034"/>
      <c r="S11" s="1034"/>
      <c r="T11" s="1035"/>
      <c r="U11" s="403"/>
    </row>
    <row r="12" spans="2:21" s="404" customFormat="1" ht="15.5" x14ac:dyDescent="0.35">
      <c r="B12" s="402">
        <f>B11+1</f>
        <v>2</v>
      </c>
      <c r="C12" s="384" t="s">
        <v>784</v>
      </c>
      <c r="D12" s="446" t="s">
        <v>118</v>
      </c>
      <c r="E12" s="692">
        <f t="shared" ref="E12:E22" si="0">F12</f>
        <v>1270.464817896036</v>
      </c>
      <c r="F12" s="690">
        <v>1270.464817896036</v>
      </c>
      <c r="G12" s="690">
        <f t="shared" ref="G12:G25" si="1">F12-E12</f>
        <v>0</v>
      </c>
      <c r="H12" s="692">
        <f t="shared" ref="H12:H22" si="2">I12</f>
        <v>1581.7493835985185</v>
      </c>
      <c r="I12" s="782">
        <v>1581.7493835985185</v>
      </c>
      <c r="J12" s="690">
        <f t="shared" ref="J12:J25" si="3">I12-H12</f>
        <v>0</v>
      </c>
      <c r="K12" s="692"/>
      <c r="L12" s="787">
        <v>1656.215222264442</v>
      </c>
      <c r="M12" s="787"/>
      <c r="N12" s="483"/>
      <c r="O12" s="483">
        <f t="shared" ref="O12:O25" si="4">N12-K12</f>
        <v>0</v>
      </c>
      <c r="P12" s="1031"/>
      <c r="Q12" s="1034"/>
      <c r="R12" s="1034"/>
      <c r="S12" s="1034"/>
      <c r="T12" s="1034"/>
      <c r="U12" s="403"/>
    </row>
    <row r="13" spans="2:21" s="404" customFormat="1" ht="15.5" x14ac:dyDescent="0.35">
      <c r="B13" s="402">
        <f t="shared" ref="B13:B26" si="5">B12+1</f>
        <v>3</v>
      </c>
      <c r="C13" s="384" t="s">
        <v>228</v>
      </c>
      <c r="D13" s="446" t="s">
        <v>118</v>
      </c>
      <c r="E13" s="692">
        <f t="shared" si="0"/>
        <v>0</v>
      </c>
      <c r="F13" s="690">
        <v>0</v>
      </c>
      <c r="G13" s="690">
        <f t="shared" si="1"/>
        <v>0</v>
      </c>
      <c r="H13" s="692">
        <f t="shared" si="2"/>
        <v>0</v>
      </c>
      <c r="I13" s="782">
        <v>0</v>
      </c>
      <c r="J13" s="690">
        <f t="shared" si="3"/>
        <v>0</v>
      </c>
      <c r="K13" s="692"/>
      <c r="L13" s="787">
        <v>0</v>
      </c>
      <c r="M13" s="787"/>
      <c r="N13" s="483"/>
      <c r="O13" s="483">
        <f t="shared" si="4"/>
        <v>0</v>
      </c>
      <c r="P13" s="1031"/>
      <c r="Q13" s="1034"/>
      <c r="R13" s="1034"/>
      <c r="S13" s="1034"/>
      <c r="T13" s="1034"/>
      <c r="U13" s="403"/>
    </row>
    <row r="14" spans="2:21" s="404" customFormat="1" ht="15.5" x14ac:dyDescent="0.35">
      <c r="B14" s="402">
        <f t="shared" si="5"/>
        <v>4</v>
      </c>
      <c r="C14" s="384" t="s">
        <v>793</v>
      </c>
      <c r="D14" s="446" t="s">
        <v>118</v>
      </c>
      <c r="E14" s="692">
        <f t="shared" si="0"/>
        <v>0</v>
      </c>
      <c r="F14" s="690">
        <v>0</v>
      </c>
      <c r="G14" s="690">
        <f t="shared" si="1"/>
        <v>0</v>
      </c>
      <c r="H14" s="692">
        <f t="shared" si="2"/>
        <v>0</v>
      </c>
      <c r="I14" s="782">
        <v>0</v>
      </c>
      <c r="J14" s="690">
        <f t="shared" si="3"/>
        <v>0</v>
      </c>
      <c r="K14" s="692"/>
      <c r="L14" s="787">
        <v>0</v>
      </c>
      <c r="M14" s="787"/>
      <c r="N14" s="483"/>
      <c r="O14" s="690">
        <f t="shared" si="4"/>
        <v>0</v>
      </c>
      <c r="P14" s="1031"/>
      <c r="Q14" s="1034"/>
      <c r="R14" s="1034"/>
      <c r="S14" s="1034"/>
      <c r="T14" s="1034"/>
      <c r="U14" s="387"/>
    </row>
    <row r="15" spans="2:21" s="404" customFormat="1" ht="15.5" x14ac:dyDescent="0.35">
      <c r="B15" s="402">
        <f t="shared" si="5"/>
        <v>5</v>
      </c>
      <c r="C15" s="384" t="s">
        <v>825</v>
      </c>
      <c r="D15" s="446" t="s">
        <v>118</v>
      </c>
      <c r="E15" s="692">
        <f t="shared" si="0"/>
        <v>122.94895862379613</v>
      </c>
      <c r="F15" s="690">
        <v>122.94895862379613</v>
      </c>
      <c r="G15" s="690">
        <f t="shared" si="1"/>
        <v>0</v>
      </c>
      <c r="H15" s="692">
        <f t="shared" si="2"/>
        <v>120.57015809090159</v>
      </c>
      <c r="I15" s="782">
        <v>120.57015809090159</v>
      </c>
      <c r="J15" s="690">
        <f t="shared" si="3"/>
        <v>0</v>
      </c>
      <c r="K15" s="692"/>
      <c r="L15" s="787">
        <v>126.25324001483351</v>
      </c>
      <c r="M15" s="787"/>
      <c r="N15" s="483"/>
      <c r="O15" s="690">
        <f t="shared" si="4"/>
        <v>0</v>
      </c>
      <c r="P15" s="1031"/>
      <c r="Q15" s="1034"/>
      <c r="R15" s="1034"/>
      <c r="S15" s="1034"/>
      <c r="T15" s="1034"/>
      <c r="U15" s="387"/>
    </row>
    <row r="16" spans="2:21" s="404" customFormat="1" ht="15.5" x14ac:dyDescent="0.35">
      <c r="B16" s="402">
        <f t="shared" si="5"/>
        <v>6</v>
      </c>
      <c r="C16" s="384" t="s">
        <v>785</v>
      </c>
      <c r="D16" s="446" t="s">
        <v>118</v>
      </c>
      <c r="E16" s="692">
        <f t="shared" si="0"/>
        <v>0</v>
      </c>
      <c r="F16" s="690">
        <v>0</v>
      </c>
      <c r="G16" s="690">
        <f t="shared" si="1"/>
        <v>0</v>
      </c>
      <c r="H16" s="692">
        <f t="shared" si="2"/>
        <v>0</v>
      </c>
      <c r="I16" s="782">
        <v>0</v>
      </c>
      <c r="J16" s="690">
        <f t="shared" si="3"/>
        <v>0</v>
      </c>
      <c r="K16" s="692"/>
      <c r="L16" s="787">
        <v>0</v>
      </c>
      <c r="M16" s="787"/>
      <c r="N16" s="483"/>
      <c r="O16" s="690">
        <f t="shared" si="4"/>
        <v>0</v>
      </c>
      <c r="P16" s="1031"/>
      <c r="Q16" s="1034"/>
      <c r="R16" s="1034"/>
      <c r="S16" s="1034"/>
      <c r="T16" s="1034"/>
      <c r="U16" s="387"/>
    </row>
    <row r="17" spans="2:21" s="404" customFormat="1" ht="15.5" x14ac:dyDescent="0.35">
      <c r="B17" s="402">
        <f t="shared" si="5"/>
        <v>7</v>
      </c>
      <c r="C17" s="384" t="s">
        <v>786</v>
      </c>
      <c r="D17" s="446" t="s">
        <v>118</v>
      </c>
      <c r="E17" s="692">
        <f t="shared" si="0"/>
        <v>232.36485185617317</v>
      </c>
      <c r="F17" s="690">
        <v>232.36485185617317</v>
      </c>
      <c r="G17" s="690">
        <f t="shared" si="1"/>
        <v>0</v>
      </c>
      <c r="H17" s="692">
        <f t="shared" si="2"/>
        <v>241.06548964395122</v>
      </c>
      <c r="I17" s="782">
        <v>241.06548964395122</v>
      </c>
      <c r="J17" s="690">
        <f t="shared" si="3"/>
        <v>0</v>
      </c>
      <c r="K17" s="692"/>
      <c r="L17" s="787">
        <v>252.42812653828503</v>
      </c>
      <c r="M17" s="787"/>
      <c r="N17" s="483"/>
      <c r="O17" s="690">
        <f t="shared" si="4"/>
        <v>0</v>
      </c>
      <c r="P17" s="1031"/>
      <c r="Q17" s="1034"/>
      <c r="R17" s="1034"/>
      <c r="S17" s="1034"/>
      <c r="T17" s="1034"/>
      <c r="U17" s="387"/>
    </row>
    <row r="18" spans="2:21" s="404" customFormat="1" ht="15.5" x14ac:dyDescent="0.35">
      <c r="B18" s="402">
        <f t="shared" si="5"/>
        <v>8</v>
      </c>
      <c r="C18" s="384" t="s">
        <v>787</v>
      </c>
      <c r="D18" s="446" t="s">
        <v>118</v>
      </c>
      <c r="E18" s="692">
        <f t="shared" si="0"/>
        <v>189.90288215006592</v>
      </c>
      <c r="F18" s="690">
        <v>189.90288215006592</v>
      </c>
      <c r="G18" s="690">
        <f t="shared" si="1"/>
        <v>0</v>
      </c>
      <c r="H18" s="692">
        <f t="shared" si="2"/>
        <v>220.15000614747788</v>
      </c>
      <c r="I18" s="782">
        <v>220.15000614747788</v>
      </c>
      <c r="J18" s="690">
        <f t="shared" si="3"/>
        <v>0</v>
      </c>
      <c r="K18" s="692"/>
      <c r="L18" s="787">
        <v>230.52679042229795</v>
      </c>
      <c r="M18" s="787"/>
      <c r="N18" s="483"/>
      <c r="O18" s="690">
        <f t="shared" si="4"/>
        <v>0</v>
      </c>
      <c r="P18" s="1031"/>
      <c r="Q18" s="1034"/>
      <c r="R18" s="1034"/>
      <c r="S18" s="1034"/>
      <c r="T18" s="1034"/>
      <c r="U18" s="387"/>
    </row>
    <row r="19" spans="2:21" s="404" customFormat="1" ht="15.5" x14ac:dyDescent="0.35">
      <c r="B19" s="402">
        <f t="shared" si="5"/>
        <v>9</v>
      </c>
      <c r="C19" s="384" t="s">
        <v>788</v>
      </c>
      <c r="D19" s="446" t="s">
        <v>118</v>
      </c>
      <c r="E19" s="692">
        <f t="shared" si="0"/>
        <v>400.00000003665178</v>
      </c>
      <c r="F19" s="690">
        <v>400.00000003665178</v>
      </c>
      <c r="G19" s="690">
        <f t="shared" si="1"/>
        <v>0</v>
      </c>
      <c r="H19" s="692">
        <f t="shared" si="2"/>
        <v>400.00042292368857</v>
      </c>
      <c r="I19" s="782">
        <v>400.00042292368857</v>
      </c>
      <c r="J19" s="690">
        <f t="shared" si="3"/>
        <v>0</v>
      </c>
      <c r="K19" s="692"/>
      <c r="L19" s="787">
        <v>400</v>
      </c>
      <c r="M19" s="787"/>
      <c r="N19" s="483"/>
      <c r="O19" s="690">
        <f t="shared" si="4"/>
        <v>0</v>
      </c>
      <c r="P19" s="1031"/>
      <c r="Q19" s="1034"/>
      <c r="R19" s="1034"/>
      <c r="S19" s="1034"/>
      <c r="T19" s="1034"/>
      <c r="U19" s="387"/>
    </row>
    <row r="20" spans="2:21" s="404" customFormat="1" ht="15.5" x14ac:dyDescent="0.35">
      <c r="B20" s="402">
        <f t="shared" si="5"/>
        <v>10</v>
      </c>
      <c r="C20" s="384" t="s">
        <v>789</v>
      </c>
      <c r="D20" s="446" t="s">
        <v>118</v>
      </c>
      <c r="E20" s="692">
        <f t="shared" si="0"/>
        <v>0</v>
      </c>
      <c r="F20" s="690">
        <v>0</v>
      </c>
      <c r="G20" s="690">
        <f t="shared" si="1"/>
        <v>0</v>
      </c>
      <c r="H20" s="692">
        <f t="shared" si="2"/>
        <v>0</v>
      </c>
      <c r="I20" s="782">
        <v>0</v>
      </c>
      <c r="J20" s="690">
        <f t="shared" si="3"/>
        <v>0</v>
      </c>
      <c r="K20" s="692"/>
      <c r="L20" s="787">
        <v>0</v>
      </c>
      <c r="M20" s="787"/>
      <c r="N20" s="483"/>
      <c r="O20" s="690">
        <f t="shared" si="4"/>
        <v>0</v>
      </c>
      <c r="P20" s="1031"/>
      <c r="Q20" s="1034"/>
      <c r="R20" s="1034"/>
      <c r="S20" s="1034"/>
      <c r="T20" s="1034"/>
      <c r="U20" s="387"/>
    </row>
    <row r="21" spans="2:21" s="404" customFormat="1" ht="15.5" x14ac:dyDescent="0.35">
      <c r="B21" s="402">
        <f t="shared" si="5"/>
        <v>11</v>
      </c>
      <c r="C21" s="384" t="s">
        <v>821</v>
      </c>
      <c r="D21" s="446" t="s">
        <v>118</v>
      </c>
      <c r="E21" s="692">
        <f t="shared" si="0"/>
        <v>74.409992899523402</v>
      </c>
      <c r="F21" s="690">
        <v>74.409992899523402</v>
      </c>
      <c r="G21" s="690">
        <f t="shared" si="1"/>
        <v>0</v>
      </c>
      <c r="H21" s="692">
        <f t="shared" si="2"/>
        <v>77.140956687117381</v>
      </c>
      <c r="I21" s="782">
        <v>77.140956687117381</v>
      </c>
      <c r="J21" s="690">
        <f t="shared" si="3"/>
        <v>0</v>
      </c>
      <c r="K21" s="692"/>
      <c r="L21" s="787">
        <v>80.777000493353825</v>
      </c>
      <c r="M21" s="787"/>
      <c r="N21" s="483"/>
      <c r="O21" s="690">
        <f t="shared" si="4"/>
        <v>0</v>
      </c>
      <c r="P21" s="1031"/>
      <c r="Q21" s="1034"/>
      <c r="R21" s="1034"/>
      <c r="S21" s="1034"/>
      <c r="T21" s="1034"/>
      <c r="U21" s="387"/>
    </row>
    <row r="22" spans="2:21" s="404" customFormat="1" ht="15.5" x14ac:dyDescent="0.35">
      <c r="B22" s="402">
        <f t="shared" si="5"/>
        <v>12</v>
      </c>
      <c r="C22" s="737" t="s">
        <v>809</v>
      </c>
      <c r="D22" s="446" t="s">
        <v>118</v>
      </c>
      <c r="E22" s="692">
        <f t="shared" si="0"/>
        <v>116.21584698746575</v>
      </c>
      <c r="F22" s="690">
        <v>116.21584698746575</v>
      </c>
      <c r="G22" s="690">
        <f t="shared" si="1"/>
        <v>0</v>
      </c>
      <c r="H22" s="692">
        <f t="shared" si="2"/>
        <v>80.190361477038209</v>
      </c>
      <c r="I22" s="782">
        <v>80.190361477038209</v>
      </c>
      <c r="J22" s="690">
        <f t="shared" si="3"/>
        <v>0</v>
      </c>
      <c r="K22" s="692"/>
      <c r="L22" s="787">
        <v>200.97415610895212</v>
      </c>
      <c r="M22" s="787"/>
      <c r="N22" s="483"/>
      <c r="O22" s="690">
        <f t="shared" si="4"/>
        <v>0</v>
      </c>
      <c r="P22" s="1031"/>
      <c r="Q22" s="1034"/>
      <c r="R22" s="1034"/>
      <c r="S22" s="1034"/>
      <c r="T22" s="1034"/>
      <c r="U22" s="387"/>
    </row>
    <row r="23" spans="2:21" s="404" customFormat="1" ht="45" x14ac:dyDescent="0.3">
      <c r="B23" s="456">
        <f t="shared" si="5"/>
        <v>13</v>
      </c>
      <c r="C23" s="405" t="s">
        <v>704</v>
      </c>
      <c r="D23" s="446" t="s">
        <v>118</v>
      </c>
      <c r="E23" s="439">
        <f>SUM(E11:E22)</f>
        <v>4133.7663504497123</v>
      </c>
      <c r="F23" s="439">
        <f>SUM(F11:F22)</f>
        <v>4133.7663504497123</v>
      </c>
      <c r="G23" s="439">
        <f t="shared" si="1"/>
        <v>0</v>
      </c>
      <c r="H23" s="439">
        <f>SUM(H11:H22)</f>
        <v>4580.9067785686939</v>
      </c>
      <c r="I23" s="439">
        <f>SUM(I11:I22)</f>
        <v>4580.9067785686939</v>
      </c>
      <c r="J23" s="439">
        <f>SUM(J11:J22)</f>
        <v>0</v>
      </c>
      <c r="K23" s="439"/>
      <c r="L23" s="439">
        <f t="shared" ref="L23" si="6">SUM(L11:L22)</f>
        <v>4895.6105054820428</v>
      </c>
      <c r="M23" s="439"/>
      <c r="N23" s="484"/>
      <c r="O23" s="439">
        <f t="shared" ref="O23" si="7">SUM(O11:O22)</f>
        <v>0</v>
      </c>
      <c r="P23" s="439"/>
      <c r="Q23" s="439"/>
      <c r="R23" s="439"/>
      <c r="S23" s="439"/>
      <c r="T23" s="439"/>
      <c r="U23" s="387"/>
    </row>
    <row r="24" spans="2:21" s="404" customFormat="1" ht="15.5" x14ac:dyDescent="0.35">
      <c r="B24" s="402">
        <f t="shared" si="5"/>
        <v>14</v>
      </c>
      <c r="C24" s="406" t="s">
        <v>144</v>
      </c>
      <c r="D24" s="446" t="s">
        <v>100</v>
      </c>
      <c r="E24" s="438">
        <f>'F2.2'!$F$43</f>
        <v>8.0000000000000002E-3</v>
      </c>
      <c r="F24" s="438">
        <f>'F2.2'!$G$44</f>
        <v>8.6899999999999998E-3</v>
      </c>
      <c r="G24" s="438">
        <f t="shared" si="1"/>
        <v>6.8999999999999964E-4</v>
      </c>
      <c r="H24" s="438">
        <f>'F2.2'!$J$43</f>
        <v>8.0000000000000002E-3</v>
      </c>
      <c r="I24" s="438">
        <f>'F2.2'!$K$44</f>
        <v>1.09E-2</v>
      </c>
      <c r="J24" s="438">
        <f t="shared" si="3"/>
        <v>2.8999999999999998E-3</v>
      </c>
      <c r="K24" s="438"/>
      <c r="L24" s="438">
        <f>'F2.2'!O44</f>
        <v>1.1570984658443995E-2</v>
      </c>
      <c r="M24" s="438"/>
      <c r="N24" s="516"/>
      <c r="O24" s="438">
        <f t="shared" si="4"/>
        <v>0</v>
      </c>
      <c r="P24" s="438"/>
      <c r="Q24" s="438"/>
      <c r="R24" s="438"/>
      <c r="S24" s="438"/>
      <c r="T24" s="438"/>
      <c r="U24" s="388"/>
    </row>
    <row r="25" spans="2:21" s="404" customFormat="1" ht="15.5" x14ac:dyDescent="0.35">
      <c r="B25" s="402">
        <f t="shared" si="5"/>
        <v>15</v>
      </c>
      <c r="C25" s="406" t="s">
        <v>684</v>
      </c>
      <c r="D25" s="446" t="s">
        <v>118</v>
      </c>
      <c r="E25" s="690"/>
      <c r="F25" s="693"/>
      <c r="G25" s="690">
        <f t="shared" si="1"/>
        <v>0</v>
      </c>
      <c r="H25" s="690"/>
      <c r="I25" s="690"/>
      <c r="J25" s="690">
        <f t="shared" si="3"/>
        <v>0</v>
      </c>
      <c r="K25" s="690"/>
      <c r="L25" s="690"/>
      <c r="M25" s="690"/>
      <c r="N25" s="690"/>
      <c r="O25" s="690">
        <f t="shared" si="4"/>
        <v>0</v>
      </c>
      <c r="P25" s="690"/>
      <c r="Q25" s="515"/>
      <c r="R25" s="690"/>
      <c r="S25" s="515"/>
      <c r="T25" s="515"/>
      <c r="U25" s="388"/>
    </row>
    <row r="26" spans="2:21" s="404" customFormat="1" ht="45" x14ac:dyDescent="0.3">
      <c r="B26" s="456">
        <f t="shared" si="5"/>
        <v>16</v>
      </c>
      <c r="C26" s="405" t="s">
        <v>705</v>
      </c>
      <c r="D26" s="407" t="s">
        <v>118</v>
      </c>
      <c r="E26" s="439">
        <f t="shared" ref="E26:J26" si="8">(E23-E22)/(1-E24)+E25+E22</f>
        <v>4166.1659512840852</v>
      </c>
      <c r="F26" s="439">
        <f>(F23-F22)/(1-F24)+F25+F22</f>
        <v>4168.9849136389139</v>
      </c>
      <c r="G26" s="439">
        <f t="shared" si="8"/>
        <v>0</v>
      </c>
      <c r="H26" s="439">
        <f t="shared" si="8"/>
        <v>4617.2028787065301</v>
      </c>
      <c r="I26" s="439">
        <f t="shared" si="8"/>
        <v>4630.5052104221959</v>
      </c>
      <c r="J26" s="439">
        <f t="shared" si="8"/>
        <v>0</v>
      </c>
      <c r="K26" s="439">
        <f>N26</f>
        <v>4767.172692401924</v>
      </c>
      <c r="L26" s="439">
        <f>(L23-L22)/(1-L24)+L25+L22</f>
        <v>4950.5679827843442</v>
      </c>
      <c r="M26" s="439">
        <v>4630.5052104221959</v>
      </c>
      <c r="N26" s="439">
        <f>SUMPRODUCT(L26:M26,'F2.2'!O94:P94)/SUM('F2.2'!O94:P94)</f>
        <v>4767.172692401924</v>
      </c>
      <c r="O26" s="680">
        <f>O23/(1-O24)+O25</f>
        <v>0</v>
      </c>
      <c r="P26" s="439">
        <v>5167.2296892862605</v>
      </c>
      <c r="Q26" s="439">
        <v>5425.5911737505739</v>
      </c>
      <c r="R26" s="439">
        <v>5696.870732438103</v>
      </c>
      <c r="S26" s="439">
        <v>5981.7142690600094</v>
      </c>
      <c r="T26" s="439">
        <v>6280.7999825130091</v>
      </c>
      <c r="U26" s="439"/>
    </row>
    <row r="27" spans="2:21" s="6" customFormat="1" ht="15.5" x14ac:dyDescent="0.3">
      <c r="B27" s="390"/>
      <c r="C27" s="386"/>
      <c r="D27" s="389"/>
      <c r="E27" s="408"/>
      <c r="F27" s="408"/>
      <c r="G27" s="690"/>
      <c r="H27" s="408"/>
      <c r="I27" s="408"/>
      <c r="J27" s="690"/>
      <c r="K27" s="408"/>
      <c r="L27" s="408"/>
      <c r="M27" s="408"/>
      <c r="N27" s="690"/>
      <c r="O27" s="690"/>
      <c r="P27" s="408"/>
      <c r="Q27" s="408"/>
      <c r="R27" s="408"/>
      <c r="S27" s="408"/>
      <c r="T27" s="408"/>
      <c r="U27" s="380"/>
    </row>
    <row r="28" spans="2:21" s="6" customFormat="1" ht="15" x14ac:dyDescent="0.3">
      <c r="B28" s="340" t="s">
        <v>185</v>
      </c>
      <c r="C28" s="341" t="s">
        <v>790</v>
      </c>
      <c r="D28" s="389"/>
      <c r="E28" s="408"/>
      <c r="F28" s="408"/>
      <c r="G28" s="690"/>
      <c r="H28" s="408"/>
      <c r="I28" s="408"/>
      <c r="J28" s="690"/>
      <c r="K28" s="408"/>
      <c r="L28" s="408"/>
      <c r="M28" s="408"/>
      <c r="N28" s="690"/>
      <c r="O28" s="690"/>
      <c r="P28" s="408"/>
      <c r="Q28" s="408"/>
      <c r="R28" s="408"/>
      <c r="S28" s="408"/>
      <c r="T28" s="408"/>
      <c r="U28" s="380"/>
    </row>
    <row r="29" spans="2:21" s="6" customFormat="1" ht="15.5" x14ac:dyDescent="0.35">
      <c r="B29" s="342">
        <v>1</v>
      </c>
      <c r="C29" s="384" t="s">
        <v>791</v>
      </c>
      <c r="D29" s="389" t="s">
        <v>118</v>
      </c>
      <c r="E29" s="690">
        <f>F29</f>
        <v>12459.933779999999</v>
      </c>
      <c r="F29" s="690">
        <v>12459.933779999999</v>
      </c>
      <c r="G29" s="690">
        <f t="shared" ref="G29:G39" si="9">F29-E29</f>
        <v>0</v>
      </c>
      <c r="H29" s="690">
        <f>I29</f>
        <v>12459.933779999999</v>
      </c>
      <c r="I29" s="782">
        <v>12459.933779999999</v>
      </c>
      <c r="J29" s="690">
        <f t="shared" ref="J29:J39" si="10">I29-H29</f>
        <v>0</v>
      </c>
      <c r="K29" s="511">
        <f>N29</f>
        <v>0</v>
      </c>
      <c r="L29" s="787">
        <v>0</v>
      </c>
      <c r="M29" s="787"/>
      <c r="N29" s="690"/>
      <c r="O29" s="690">
        <f t="shared" ref="O29:O38" si="11">N29-K29</f>
        <v>0</v>
      </c>
      <c r="P29" s="1031"/>
      <c r="Q29" s="1095"/>
      <c r="R29" s="1095"/>
      <c r="S29" s="1095"/>
      <c r="T29" s="1095"/>
      <c r="U29" s="380"/>
    </row>
    <row r="30" spans="2:21" s="6" customFormat="1" ht="15.5" x14ac:dyDescent="0.35">
      <c r="B30" s="342">
        <v>2</v>
      </c>
      <c r="C30" s="384" t="s">
        <v>792</v>
      </c>
      <c r="D30" s="389" t="s">
        <v>118</v>
      </c>
      <c r="E30" s="690">
        <f t="shared" ref="E30:E38" si="12">F30</f>
        <v>1054.7</v>
      </c>
      <c r="F30" s="690">
        <v>1054.7</v>
      </c>
      <c r="G30" s="690">
        <f t="shared" si="9"/>
        <v>0</v>
      </c>
      <c r="H30" s="690">
        <f t="shared" ref="H30:H38" si="13">I30</f>
        <v>1054.7</v>
      </c>
      <c r="I30" s="782">
        <v>1054.7</v>
      </c>
      <c r="J30" s="690">
        <f t="shared" si="10"/>
        <v>0</v>
      </c>
      <c r="K30" s="511">
        <f t="shared" ref="K30:K38" si="14">N30</f>
        <v>0</v>
      </c>
      <c r="L30" s="787">
        <v>0</v>
      </c>
      <c r="M30" s="787"/>
      <c r="N30" s="690"/>
      <c r="O30" s="690">
        <f t="shared" si="11"/>
        <v>0</v>
      </c>
      <c r="P30" s="1031"/>
      <c r="Q30" s="1095"/>
      <c r="R30" s="1095"/>
      <c r="S30" s="1095"/>
      <c r="T30" s="1095"/>
      <c r="U30" s="380"/>
    </row>
    <row r="31" spans="2:21" s="6" customFormat="1" ht="15.5" x14ac:dyDescent="0.35">
      <c r="B31" s="342">
        <v>3</v>
      </c>
      <c r="C31" s="384" t="s">
        <v>228</v>
      </c>
      <c r="D31" s="389" t="s">
        <v>118</v>
      </c>
      <c r="E31" s="690">
        <f t="shared" si="12"/>
        <v>14</v>
      </c>
      <c r="F31" s="690">
        <v>14</v>
      </c>
      <c r="G31" s="690">
        <f t="shared" si="9"/>
        <v>0</v>
      </c>
      <c r="H31" s="690">
        <f t="shared" si="13"/>
        <v>14</v>
      </c>
      <c r="I31" s="782">
        <v>14</v>
      </c>
      <c r="J31" s="690">
        <f t="shared" si="10"/>
        <v>0</v>
      </c>
      <c r="K31" s="511">
        <f t="shared" si="14"/>
        <v>0</v>
      </c>
      <c r="L31" s="787">
        <v>0</v>
      </c>
      <c r="M31" s="787"/>
      <c r="N31" s="690"/>
      <c r="O31" s="690">
        <f t="shared" si="11"/>
        <v>0</v>
      </c>
      <c r="P31" s="1031"/>
      <c r="Q31" s="1095"/>
      <c r="R31" s="1095"/>
      <c r="S31" s="1095"/>
      <c r="T31" s="1095"/>
      <c r="U31" s="380"/>
    </row>
    <row r="32" spans="2:21" s="6" customFormat="1" ht="15.5" x14ac:dyDescent="0.35">
      <c r="B32" s="342">
        <v>4</v>
      </c>
      <c r="C32" s="384" t="s">
        <v>793</v>
      </c>
      <c r="D32" s="389" t="s">
        <v>118</v>
      </c>
      <c r="E32" s="690">
        <f t="shared" si="12"/>
        <v>0</v>
      </c>
      <c r="F32" s="690">
        <v>0</v>
      </c>
      <c r="G32" s="690">
        <f t="shared" si="9"/>
        <v>0</v>
      </c>
      <c r="H32" s="690">
        <f t="shared" si="13"/>
        <v>0</v>
      </c>
      <c r="I32" s="782">
        <v>0</v>
      </c>
      <c r="J32" s="690">
        <f t="shared" si="10"/>
        <v>0</v>
      </c>
      <c r="K32" s="511">
        <f t="shared" si="14"/>
        <v>0</v>
      </c>
      <c r="L32" s="787">
        <v>0</v>
      </c>
      <c r="M32" s="787"/>
      <c r="N32" s="690"/>
      <c r="O32" s="690">
        <f t="shared" si="11"/>
        <v>0</v>
      </c>
      <c r="P32" s="1031"/>
      <c r="Q32" s="1095"/>
      <c r="R32" s="1095"/>
      <c r="S32" s="1095"/>
      <c r="T32" s="1095"/>
      <c r="U32" s="380"/>
    </row>
    <row r="33" spans="2:21" s="6" customFormat="1" ht="15.5" x14ac:dyDescent="0.35">
      <c r="B33" s="342">
        <v>5</v>
      </c>
      <c r="C33" s="384" t="s">
        <v>794</v>
      </c>
      <c r="D33" s="389" t="s">
        <v>118</v>
      </c>
      <c r="E33" s="690">
        <f t="shared" si="12"/>
        <v>1100</v>
      </c>
      <c r="F33" s="690">
        <v>1100</v>
      </c>
      <c r="G33" s="690">
        <f t="shared" si="9"/>
        <v>0</v>
      </c>
      <c r="H33" s="690">
        <f t="shared" si="13"/>
        <v>1100</v>
      </c>
      <c r="I33" s="782">
        <v>1100</v>
      </c>
      <c r="J33" s="690">
        <f t="shared" si="10"/>
        <v>0</v>
      </c>
      <c r="K33" s="511">
        <f t="shared" si="14"/>
        <v>0</v>
      </c>
      <c r="L33" s="787">
        <v>0</v>
      </c>
      <c r="M33" s="787"/>
      <c r="N33" s="690"/>
      <c r="O33" s="690">
        <f t="shared" si="11"/>
        <v>0</v>
      </c>
      <c r="P33" s="1031"/>
      <c r="Q33" s="1095"/>
      <c r="R33" s="1095"/>
      <c r="S33" s="1095"/>
      <c r="T33" s="1095"/>
      <c r="U33" s="380"/>
    </row>
    <row r="34" spans="2:21" s="6" customFormat="1" ht="15.5" x14ac:dyDescent="0.35">
      <c r="B34" s="342">
        <v>6</v>
      </c>
      <c r="C34" s="384" t="s">
        <v>785</v>
      </c>
      <c r="D34" s="389" t="s">
        <v>118</v>
      </c>
      <c r="E34" s="690">
        <f t="shared" si="12"/>
        <v>0</v>
      </c>
      <c r="F34" s="690">
        <v>0</v>
      </c>
      <c r="G34" s="690">
        <f t="shared" si="9"/>
        <v>0</v>
      </c>
      <c r="H34" s="690">
        <f t="shared" si="13"/>
        <v>0</v>
      </c>
      <c r="I34" s="782">
        <v>0</v>
      </c>
      <c r="J34" s="690">
        <f t="shared" si="10"/>
        <v>0</v>
      </c>
      <c r="K34" s="511">
        <f t="shared" si="14"/>
        <v>0</v>
      </c>
      <c r="L34" s="787">
        <v>0</v>
      </c>
      <c r="M34" s="787"/>
      <c r="N34" s="690"/>
      <c r="O34" s="690">
        <f t="shared" si="11"/>
        <v>0</v>
      </c>
      <c r="P34" s="1031"/>
      <c r="Q34" s="1095"/>
      <c r="R34" s="1095"/>
      <c r="S34" s="1095"/>
      <c r="T34" s="1095"/>
      <c r="U34" s="380"/>
    </row>
    <row r="35" spans="2:21" s="6" customFormat="1" ht="15.5" x14ac:dyDescent="0.35">
      <c r="B35" s="342">
        <v>7</v>
      </c>
      <c r="C35" s="384" t="s">
        <v>786</v>
      </c>
      <c r="D35" s="389" t="s">
        <v>118</v>
      </c>
      <c r="E35" s="690">
        <f t="shared" si="12"/>
        <v>0</v>
      </c>
      <c r="F35" s="690">
        <v>0</v>
      </c>
      <c r="G35" s="690">
        <f t="shared" si="9"/>
        <v>0</v>
      </c>
      <c r="H35" s="690">
        <f t="shared" si="13"/>
        <v>0</v>
      </c>
      <c r="I35" s="782">
        <v>0</v>
      </c>
      <c r="J35" s="690">
        <f t="shared" si="10"/>
        <v>0</v>
      </c>
      <c r="K35" s="511">
        <f t="shared" si="14"/>
        <v>0</v>
      </c>
      <c r="L35" s="787">
        <v>0</v>
      </c>
      <c r="M35" s="787"/>
      <c r="N35" s="690"/>
      <c r="O35" s="690">
        <f t="shared" si="11"/>
        <v>0</v>
      </c>
      <c r="P35" s="1031"/>
      <c r="Q35" s="1095"/>
      <c r="R35" s="1095"/>
      <c r="S35" s="1095"/>
      <c r="T35" s="1095"/>
      <c r="U35" s="380"/>
    </row>
    <row r="36" spans="2:21" s="6" customFormat="1" ht="15.5" x14ac:dyDescent="0.35">
      <c r="B36" s="342">
        <v>8</v>
      </c>
      <c r="C36" s="384" t="s">
        <v>787</v>
      </c>
      <c r="D36" s="389" t="s">
        <v>118</v>
      </c>
      <c r="E36" s="690">
        <f t="shared" si="12"/>
        <v>0</v>
      </c>
      <c r="F36" s="690">
        <v>0</v>
      </c>
      <c r="G36" s="690">
        <f t="shared" si="9"/>
        <v>0</v>
      </c>
      <c r="H36" s="690">
        <f t="shared" si="13"/>
        <v>0</v>
      </c>
      <c r="I36" s="782">
        <v>0</v>
      </c>
      <c r="J36" s="690">
        <f t="shared" si="10"/>
        <v>0</v>
      </c>
      <c r="K36" s="511">
        <f t="shared" si="14"/>
        <v>0</v>
      </c>
      <c r="L36" s="787">
        <v>0</v>
      </c>
      <c r="M36" s="787"/>
      <c r="N36" s="690"/>
      <c r="O36" s="690">
        <f t="shared" si="11"/>
        <v>0</v>
      </c>
      <c r="P36" s="1031"/>
      <c r="Q36" s="1095"/>
      <c r="R36" s="1095"/>
      <c r="S36" s="1095"/>
      <c r="T36" s="1095"/>
      <c r="U36" s="380"/>
    </row>
    <row r="37" spans="2:21" s="6" customFormat="1" ht="15.5" x14ac:dyDescent="0.35">
      <c r="B37" s="342">
        <v>9</v>
      </c>
      <c r="C37" s="384" t="s">
        <v>210</v>
      </c>
      <c r="D37" s="389" t="s">
        <v>118</v>
      </c>
      <c r="E37" s="690">
        <f t="shared" si="12"/>
        <v>0</v>
      </c>
      <c r="F37" s="690">
        <v>0</v>
      </c>
      <c r="G37" s="690">
        <f t="shared" si="9"/>
        <v>0</v>
      </c>
      <c r="H37" s="690">
        <f t="shared" si="13"/>
        <v>0</v>
      </c>
      <c r="I37" s="782">
        <v>0</v>
      </c>
      <c r="J37" s="690">
        <f t="shared" si="10"/>
        <v>0</v>
      </c>
      <c r="K37" s="511">
        <f t="shared" si="14"/>
        <v>0</v>
      </c>
      <c r="L37" s="787">
        <v>0</v>
      </c>
      <c r="M37" s="787"/>
      <c r="N37" s="690"/>
      <c r="O37" s="690">
        <f t="shared" si="11"/>
        <v>0</v>
      </c>
      <c r="P37" s="1031"/>
      <c r="Q37" s="1095"/>
      <c r="R37" s="1095"/>
      <c r="S37" s="1095"/>
      <c r="T37" s="1095"/>
      <c r="U37" s="380"/>
    </row>
    <row r="38" spans="2:21" s="6" customFormat="1" ht="15.5" x14ac:dyDescent="0.35">
      <c r="B38" s="342">
        <v>10</v>
      </c>
      <c r="C38" s="384" t="s">
        <v>210</v>
      </c>
      <c r="D38" s="389" t="s">
        <v>118</v>
      </c>
      <c r="E38" s="690">
        <f t="shared" si="12"/>
        <v>1134.96</v>
      </c>
      <c r="F38" s="690">
        <v>1134.96</v>
      </c>
      <c r="G38" s="690">
        <f t="shared" si="9"/>
        <v>0</v>
      </c>
      <c r="H38" s="690">
        <f t="shared" si="13"/>
        <v>1134.96</v>
      </c>
      <c r="I38" s="782">
        <v>1134.96</v>
      </c>
      <c r="J38" s="690">
        <f t="shared" si="10"/>
        <v>0</v>
      </c>
      <c r="K38" s="511">
        <f t="shared" si="14"/>
        <v>0</v>
      </c>
      <c r="L38" s="787">
        <v>0</v>
      </c>
      <c r="M38" s="787"/>
      <c r="N38" s="690"/>
      <c r="O38" s="690">
        <f t="shared" si="11"/>
        <v>0</v>
      </c>
      <c r="P38" s="1031"/>
      <c r="Q38" s="1095"/>
      <c r="R38" s="1095"/>
      <c r="S38" s="1095"/>
      <c r="T38" s="1095"/>
      <c r="U38" s="380"/>
    </row>
    <row r="39" spans="2:21" s="6" customFormat="1" ht="15.5" x14ac:dyDescent="0.35">
      <c r="B39" s="342">
        <v>11</v>
      </c>
      <c r="C39" s="737" t="s">
        <v>809</v>
      </c>
      <c r="D39" s="738" t="s">
        <v>118</v>
      </c>
      <c r="E39" s="739">
        <f>F39</f>
        <v>116.21584698746575</v>
      </c>
      <c r="F39" s="739">
        <v>116.21584698746575</v>
      </c>
      <c r="G39" s="736">
        <f t="shared" si="9"/>
        <v>0</v>
      </c>
      <c r="H39" s="736">
        <f>I39</f>
        <v>0</v>
      </c>
      <c r="I39" s="739">
        <v>0</v>
      </c>
      <c r="J39" s="736">
        <f t="shared" si="10"/>
        <v>0</v>
      </c>
      <c r="K39" s="511"/>
      <c r="L39" s="739">
        <v>0</v>
      </c>
      <c r="M39" s="739"/>
      <c r="N39" s="736"/>
      <c r="O39" s="736"/>
      <c r="P39" s="1048"/>
      <c r="Q39" s="1095"/>
      <c r="R39" s="1095"/>
      <c r="S39" s="1095"/>
      <c r="T39" s="1095"/>
      <c r="U39" s="380"/>
    </row>
    <row r="40" spans="2:21" s="6" customFormat="1" ht="15" x14ac:dyDescent="0.3">
      <c r="B40" s="340"/>
      <c r="C40" s="341" t="s">
        <v>795</v>
      </c>
      <c r="D40" s="389" t="s">
        <v>118</v>
      </c>
      <c r="E40" s="439">
        <f t="shared" ref="E40:J40" si="15">SUM(E29:E39)</f>
        <v>15879.809626987466</v>
      </c>
      <c r="F40" s="439">
        <f t="shared" si="15"/>
        <v>15879.809626987466</v>
      </c>
      <c r="G40" s="439">
        <f t="shared" si="15"/>
        <v>0</v>
      </c>
      <c r="H40" s="439">
        <f t="shared" si="15"/>
        <v>15763.593779999999</v>
      </c>
      <c r="I40" s="439">
        <f t="shared" si="15"/>
        <v>15763.593779999999</v>
      </c>
      <c r="J40" s="439">
        <f t="shared" si="15"/>
        <v>0</v>
      </c>
      <c r="K40" s="439">
        <f>N40</f>
        <v>0</v>
      </c>
      <c r="L40" s="439">
        <f>SUM(L29:L38)</f>
        <v>0</v>
      </c>
      <c r="M40" s="439">
        <v>15763.593779999999</v>
      </c>
      <c r="N40" s="439">
        <f>IFERROR(SUMPRODUCT(L40:M40,'F2.2'!O95:P95)/SUM('F2.2'!O95:P95),0)</f>
        <v>0</v>
      </c>
      <c r="O40" s="439">
        <f t="shared" ref="O40" si="16">SUM(O29:O38)</f>
        <v>0</v>
      </c>
      <c r="P40" s="439">
        <v>0</v>
      </c>
      <c r="Q40" s="439">
        <v>0</v>
      </c>
      <c r="R40" s="439">
        <v>0</v>
      </c>
      <c r="S40" s="439">
        <v>0</v>
      </c>
      <c r="T40" s="439">
        <v>0</v>
      </c>
      <c r="U40" s="385"/>
    </row>
    <row r="41" spans="2:21" s="6" customFormat="1" ht="15.5" x14ac:dyDescent="0.3">
      <c r="B41" s="390"/>
      <c r="C41" s="386"/>
      <c r="D41" s="389"/>
      <c r="E41" s="690"/>
      <c r="F41" s="690"/>
      <c r="G41" s="690"/>
      <c r="H41" s="690"/>
      <c r="I41" s="690"/>
      <c r="J41" s="690"/>
      <c r="K41" s="690"/>
      <c r="L41" s="690"/>
      <c r="M41" s="690"/>
      <c r="N41" s="690"/>
      <c r="O41" s="690"/>
      <c r="P41" s="690"/>
      <c r="Q41" s="1095"/>
      <c r="R41" s="1095"/>
      <c r="S41" s="1095"/>
      <c r="T41" s="1095"/>
      <c r="U41" s="380"/>
    </row>
    <row r="42" spans="2:21" s="404" customFormat="1" ht="15" x14ac:dyDescent="0.3">
      <c r="B42" s="456" t="s">
        <v>186</v>
      </c>
      <c r="C42" s="341" t="s">
        <v>884</v>
      </c>
      <c r="D42" s="407"/>
      <c r="E42" s="690"/>
      <c r="F42" s="690"/>
      <c r="G42" s="690"/>
      <c r="H42" s="690"/>
      <c r="I42" s="690"/>
      <c r="J42" s="690"/>
      <c r="K42" s="690"/>
      <c r="L42" s="690"/>
      <c r="M42" s="690"/>
      <c r="N42" s="690"/>
      <c r="O42" s="690"/>
      <c r="P42" s="690"/>
      <c r="Q42" s="1095"/>
      <c r="R42" s="1095"/>
      <c r="S42" s="1095"/>
      <c r="T42" s="1095"/>
      <c r="U42" s="388"/>
    </row>
    <row r="43" spans="2:21" s="404" customFormat="1" ht="15.5" x14ac:dyDescent="0.35">
      <c r="B43" s="456">
        <v>1</v>
      </c>
      <c r="C43" s="384" t="s">
        <v>791</v>
      </c>
      <c r="D43" s="407" t="s">
        <v>885</v>
      </c>
      <c r="E43" s="690">
        <f>F43</f>
        <v>1706.1058052557933</v>
      </c>
      <c r="F43" s="690">
        <v>1706.1058052557933</v>
      </c>
      <c r="G43" s="690">
        <f t="shared" ref="G43:G52" si="17">F43-E43</f>
        <v>0</v>
      </c>
      <c r="H43" s="690">
        <f>I43</f>
        <v>1722.333477004931</v>
      </c>
      <c r="I43" s="782">
        <v>1722.333477004931</v>
      </c>
      <c r="J43" s="690">
        <f t="shared" ref="J43:J53" si="18">I43-H43</f>
        <v>0</v>
      </c>
      <c r="K43" s="690"/>
      <c r="L43" s="787">
        <v>0</v>
      </c>
      <c r="M43" s="787"/>
      <c r="N43" s="690"/>
      <c r="O43" s="690">
        <f t="shared" ref="O43:O52" si="19">N43-K43</f>
        <v>0</v>
      </c>
      <c r="P43" s="1048"/>
      <c r="Q43" s="1095"/>
      <c r="R43" s="1095"/>
      <c r="S43" s="1095"/>
      <c r="T43" s="1095"/>
      <c r="U43" s="388"/>
    </row>
    <row r="44" spans="2:21" s="404" customFormat="1" ht="15.5" x14ac:dyDescent="0.35">
      <c r="B44" s="456">
        <f>+B43+1</f>
        <v>2</v>
      </c>
      <c r="C44" s="384" t="s">
        <v>792</v>
      </c>
      <c r="D44" s="407" t="s">
        <v>885</v>
      </c>
      <c r="E44" s="690">
        <f t="shared" ref="E44:E52" si="20">F44</f>
        <v>1279.1454299075654</v>
      </c>
      <c r="F44" s="690">
        <v>1279.1454299075654</v>
      </c>
      <c r="G44" s="690">
        <f t="shared" si="17"/>
        <v>0</v>
      </c>
      <c r="H44" s="690">
        <f t="shared" ref="H44:H52" si="21">I44</f>
        <v>1485.2933507821679</v>
      </c>
      <c r="I44" s="782">
        <v>1485.2933507821679</v>
      </c>
      <c r="J44" s="690">
        <f t="shared" si="18"/>
        <v>0</v>
      </c>
      <c r="K44" s="690"/>
      <c r="L44" s="787">
        <v>0</v>
      </c>
      <c r="M44" s="787"/>
      <c r="N44" s="690"/>
      <c r="O44" s="690">
        <f t="shared" si="19"/>
        <v>0</v>
      </c>
      <c r="P44" s="1048"/>
      <c r="Q44" s="1095"/>
      <c r="R44" s="1095"/>
      <c r="S44" s="1095"/>
      <c r="T44" s="1095"/>
      <c r="U44" s="388"/>
    </row>
    <row r="45" spans="2:21" s="404" customFormat="1" ht="15.5" x14ac:dyDescent="0.35">
      <c r="B45" s="456">
        <f t="shared" ref="B45:B53" si="22">+B44+1</f>
        <v>3</v>
      </c>
      <c r="C45" s="384" t="s">
        <v>228</v>
      </c>
      <c r="D45" s="407" t="s">
        <v>885</v>
      </c>
      <c r="E45" s="690">
        <f t="shared" si="20"/>
        <v>0</v>
      </c>
      <c r="F45" s="690">
        <v>0</v>
      </c>
      <c r="G45" s="690">
        <f t="shared" si="17"/>
        <v>0</v>
      </c>
      <c r="H45" s="690">
        <f t="shared" si="21"/>
        <v>0</v>
      </c>
      <c r="I45" s="782">
        <v>0</v>
      </c>
      <c r="J45" s="690">
        <f t="shared" si="18"/>
        <v>0</v>
      </c>
      <c r="K45" s="690"/>
      <c r="L45" s="787">
        <v>0</v>
      </c>
      <c r="M45" s="787"/>
      <c r="N45" s="690"/>
      <c r="O45" s="690">
        <f t="shared" si="19"/>
        <v>0</v>
      </c>
      <c r="P45" s="1048"/>
      <c r="Q45" s="1095"/>
      <c r="R45" s="1095"/>
      <c r="S45" s="1095"/>
      <c r="T45" s="1095"/>
      <c r="U45" s="388"/>
    </row>
    <row r="46" spans="2:21" s="404" customFormat="1" ht="15.5" x14ac:dyDescent="0.35">
      <c r="B46" s="456">
        <f t="shared" si="22"/>
        <v>4</v>
      </c>
      <c r="C46" s="384" t="s">
        <v>793</v>
      </c>
      <c r="D46" s="407" t="s">
        <v>885</v>
      </c>
      <c r="E46" s="690">
        <f t="shared" si="20"/>
        <v>0</v>
      </c>
      <c r="F46" s="690">
        <v>0</v>
      </c>
      <c r="G46" s="690">
        <f t="shared" si="17"/>
        <v>0</v>
      </c>
      <c r="H46" s="690">
        <f t="shared" si="21"/>
        <v>0</v>
      </c>
      <c r="I46" s="782">
        <v>0</v>
      </c>
      <c r="J46" s="690">
        <f t="shared" si="18"/>
        <v>0</v>
      </c>
      <c r="K46" s="690"/>
      <c r="L46" s="787">
        <v>0</v>
      </c>
      <c r="M46" s="787"/>
      <c r="N46" s="690"/>
      <c r="O46" s="690">
        <f t="shared" si="19"/>
        <v>0</v>
      </c>
      <c r="P46" s="1048"/>
      <c r="Q46" s="1095"/>
      <c r="R46" s="1095"/>
      <c r="S46" s="1095"/>
      <c r="T46" s="1095"/>
      <c r="U46" s="388"/>
    </row>
    <row r="47" spans="2:21" s="404" customFormat="1" ht="15.5" x14ac:dyDescent="0.35">
      <c r="B47" s="456">
        <f t="shared" si="22"/>
        <v>5</v>
      </c>
      <c r="C47" s="384" t="s">
        <v>794</v>
      </c>
      <c r="D47" s="407" t="s">
        <v>885</v>
      </c>
      <c r="E47" s="690">
        <f t="shared" si="20"/>
        <v>523.78902297819695</v>
      </c>
      <c r="F47" s="690">
        <v>523.78902297819695</v>
      </c>
      <c r="G47" s="690">
        <f t="shared" si="17"/>
        <v>0</v>
      </c>
      <c r="H47" s="690">
        <f t="shared" si="21"/>
        <v>113.22387053800198</v>
      </c>
      <c r="I47" s="782">
        <v>113.22387053800198</v>
      </c>
      <c r="J47" s="690">
        <f t="shared" si="18"/>
        <v>0</v>
      </c>
      <c r="K47" s="690"/>
      <c r="L47" s="787">
        <v>0</v>
      </c>
      <c r="M47" s="787"/>
      <c r="N47" s="690"/>
      <c r="O47" s="690">
        <f t="shared" si="19"/>
        <v>0</v>
      </c>
      <c r="P47" s="1048"/>
      <c r="Q47" s="1095"/>
      <c r="R47" s="1095"/>
      <c r="S47" s="1095"/>
      <c r="T47" s="1095"/>
      <c r="U47" s="388"/>
    </row>
    <row r="48" spans="2:21" s="404" customFormat="1" ht="15.5" x14ac:dyDescent="0.35">
      <c r="B48" s="456">
        <f t="shared" si="22"/>
        <v>6</v>
      </c>
      <c r="C48" s="384" t="s">
        <v>785</v>
      </c>
      <c r="D48" s="407" t="s">
        <v>885</v>
      </c>
      <c r="E48" s="690">
        <f t="shared" si="20"/>
        <v>0</v>
      </c>
      <c r="F48" s="690">
        <v>0</v>
      </c>
      <c r="G48" s="690">
        <f t="shared" si="17"/>
        <v>0</v>
      </c>
      <c r="H48" s="690">
        <f t="shared" si="21"/>
        <v>400</v>
      </c>
      <c r="I48" s="782">
        <v>400</v>
      </c>
      <c r="J48" s="690">
        <f t="shared" si="18"/>
        <v>0</v>
      </c>
      <c r="K48" s="690"/>
      <c r="L48" s="787">
        <v>0</v>
      </c>
      <c r="M48" s="787"/>
      <c r="N48" s="690"/>
      <c r="O48" s="690">
        <f t="shared" si="19"/>
        <v>0</v>
      </c>
      <c r="P48" s="1048"/>
      <c r="Q48" s="1095"/>
      <c r="R48" s="1095"/>
      <c r="S48" s="1095"/>
      <c r="T48" s="1095"/>
      <c r="U48" s="388"/>
    </row>
    <row r="49" spans="2:21" s="404" customFormat="1" ht="15.5" x14ac:dyDescent="0.35">
      <c r="B49" s="456">
        <f t="shared" si="22"/>
        <v>7</v>
      </c>
      <c r="C49" s="384" t="s">
        <v>786</v>
      </c>
      <c r="D49" s="407" t="s">
        <v>885</v>
      </c>
      <c r="E49" s="690">
        <f t="shared" si="20"/>
        <v>233.95251417918053</v>
      </c>
      <c r="F49" s="690">
        <v>233.95251417918053</v>
      </c>
      <c r="G49" s="690">
        <f t="shared" si="17"/>
        <v>0</v>
      </c>
      <c r="H49" s="690">
        <f t="shared" si="21"/>
        <v>226.37747368672038</v>
      </c>
      <c r="I49" s="782">
        <v>226.37747368672038</v>
      </c>
      <c r="J49" s="690">
        <f t="shared" si="18"/>
        <v>0</v>
      </c>
      <c r="K49" s="690"/>
      <c r="L49" s="787">
        <v>0</v>
      </c>
      <c r="M49" s="787"/>
      <c r="N49" s="690"/>
      <c r="O49" s="690">
        <f t="shared" si="19"/>
        <v>0</v>
      </c>
      <c r="P49" s="1048"/>
      <c r="Q49" s="1095"/>
      <c r="R49" s="1095"/>
      <c r="S49" s="1095"/>
      <c r="T49" s="1095"/>
      <c r="U49" s="388"/>
    </row>
    <row r="50" spans="2:21" s="404" customFormat="1" ht="15.5" x14ac:dyDescent="0.35">
      <c r="B50" s="456">
        <f t="shared" si="22"/>
        <v>8</v>
      </c>
      <c r="C50" s="384" t="s">
        <v>787</v>
      </c>
      <c r="D50" s="407" t="s">
        <v>885</v>
      </c>
      <c r="E50" s="690">
        <f t="shared" si="20"/>
        <v>191.20041767926372</v>
      </c>
      <c r="F50" s="690">
        <v>191.20041767926372</v>
      </c>
      <c r="G50" s="690">
        <f t="shared" si="17"/>
        <v>0</v>
      </c>
      <c r="H50" s="690">
        <f t="shared" si="21"/>
        <v>206.73636154801849</v>
      </c>
      <c r="I50" s="782">
        <v>206.73636154801849</v>
      </c>
      <c r="J50" s="690">
        <f t="shared" si="18"/>
        <v>0</v>
      </c>
      <c r="K50" s="690"/>
      <c r="L50" s="787">
        <v>0</v>
      </c>
      <c r="M50" s="787"/>
      <c r="N50" s="690"/>
      <c r="O50" s="690">
        <f t="shared" si="19"/>
        <v>0</v>
      </c>
      <c r="P50" s="1048"/>
      <c r="Q50" s="1095"/>
      <c r="R50" s="1095"/>
      <c r="S50" s="1095"/>
      <c r="T50" s="1095"/>
      <c r="U50" s="388"/>
    </row>
    <row r="51" spans="2:21" s="404" customFormat="1" ht="15.5" x14ac:dyDescent="0.35">
      <c r="B51" s="456">
        <f t="shared" si="22"/>
        <v>9</v>
      </c>
      <c r="C51" s="384" t="s">
        <v>886</v>
      </c>
      <c r="D51" s="407" t="s">
        <v>885</v>
      </c>
      <c r="E51" s="690">
        <f t="shared" si="20"/>
        <v>311.65833769958522</v>
      </c>
      <c r="F51" s="690">
        <v>311.65833769958522</v>
      </c>
      <c r="G51" s="690">
        <f t="shared" si="17"/>
        <v>0</v>
      </c>
      <c r="H51" s="690">
        <f t="shared" si="21"/>
        <v>216.64056884646294</v>
      </c>
      <c r="I51" s="782">
        <v>216.64056884646294</v>
      </c>
      <c r="J51" s="690">
        <f t="shared" si="18"/>
        <v>0</v>
      </c>
      <c r="K51" s="690"/>
      <c r="L51" s="787">
        <v>0</v>
      </c>
      <c r="M51" s="787"/>
      <c r="N51" s="690"/>
      <c r="O51" s="690">
        <f t="shared" si="19"/>
        <v>0</v>
      </c>
      <c r="P51" s="1048"/>
      <c r="Q51" s="1095"/>
      <c r="R51" s="1095"/>
      <c r="S51" s="1095"/>
      <c r="T51" s="1095"/>
      <c r="U51" s="388"/>
    </row>
    <row r="52" spans="2:21" s="404" customFormat="1" ht="15.5" x14ac:dyDescent="0.35">
      <c r="B52" s="456">
        <f t="shared" si="22"/>
        <v>10</v>
      </c>
      <c r="C52" s="384" t="s">
        <v>210</v>
      </c>
      <c r="D52" s="407" t="s">
        <v>885</v>
      </c>
      <c r="E52" s="690">
        <f t="shared" si="20"/>
        <v>0</v>
      </c>
      <c r="F52" s="690">
        <v>0</v>
      </c>
      <c r="G52" s="690">
        <f t="shared" si="17"/>
        <v>0</v>
      </c>
      <c r="H52" s="690">
        <f t="shared" si="21"/>
        <v>72.440791580739358</v>
      </c>
      <c r="I52" s="782">
        <v>72.440791580739358</v>
      </c>
      <c r="J52" s="690">
        <f t="shared" si="18"/>
        <v>0</v>
      </c>
      <c r="K52" s="690"/>
      <c r="L52" s="787">
        <v>0</v>
      </c>
      <c r="M52" s="787"/>
      <c r="N52" s="690"/>
      <c r="O52" s="690">
        <f t="shared" si="19"/>
        <v>0</v>
      </c>
      <c r="P52" s="1048"/>
      <c r="Q52" s="1095"/>
      <c r="R52" s="1095"/>
      <c r="S52" s="1095"/>
      <c r="T52" s="1095"/>
      <c r="U52" s="388"/>
    </row>
    <row r="53" spans="2:21" s="404" customFormat="1" ht="15.5" x14ac:dyDescent="0.35">
      <c r="B53" s="456">
        <f t="shared" si="22"/>
        <v>11</v>
      </c>
      <c r="C53" s="737" t="s">
        <v>809</v>
      </c>
      <c r="D53" s="738" t="s">
        <v>118</v>
      </c>
      <c r="E53" s="739">
        <f>F53</f>
        <v>116.21584698746575</v>
      </c>
      <c r="F53" s="739">
        <v>116.21584698746575</v>
      </c>
      <c r="G53" s="736"/>
      <c r="H53" s="736">
        <f>I53</f>
        <v>80.190361477038209</v>
      </c>
      <c r="I53" s="739">
        <v>80.190361477038209</v>
      </c>
      <c r="J53" s="736">
        <f t="shared" si="18"/>
        <v>0</v>
      </c>
      <c r="K53" s="736"/>
      <c r="L53" s="739">
        <v>0</v>
      </c>
      <c r="M53" s="739"/>
      <c r="N53" s="736"/>
      <c r="O53" s="736"/>
      <c r="P53" s="1048"/>
      <c r="Q53" s="1095"/>
      <c r="R53" s="1095"/>
      <c r="S53" s="1095"/>
      <c r="T53" s="1095"/>
      <c r="U53" s="388"/>
    </row>
    <row r="54" spans="2:21" s="404" customFormat="1" ht="15" x14ac:dyDescent="0.3">
      <c r="B54" s="456"/>
      <c r="C54" s="341" t="s">
        <v>887</v>
      </c>
      <c r="D54" s="407" t="s">
        <v>885</v>
      </c>
      <c r="E54" s="439">
        <f>SUM(E43:E53)</f>
        <v>4362.0673746870507</v>
      </c>
      <c r="F54" s="439">
        <f>SUM(F43:F53)</f>
        <v>4362.0673746870507</v>
      </c>
      <c r="G54" s="439">
        <f t="shared" ref="G54:O54" si="23">SUM(G43:G52)</f>
        <v>0</v>
      </c>
      <c r="H54" s="439">
        <f>SUM(H43:H53)</f>
        <v>4523.2362554640795</v>
      </c>
      <c r="I54" s="439">
        <f>SUM(I43:I53)</f>
        <v>4523.2362554640795</v>
      </c>
      <c r="J54" s="439">
        <f>SUM(J43:J53)</f>
        <v>0</v>
      </c>
      <c r="K54" s="439">
        <f>N54</f>
        <v>4523.2362554640795</v>
      </c>
      <c r="L54" s="439">
        <f t="shared" si="23"/>
        <v>0</v>
      </c>
      <c r="M54" s="439">
        <v>4523.2362554640795</v>
      </c>
      <c r="N54" s="439">
        <f>IFERROR(SUMPRODUCT(L54:M54,'F2.2'!O96:P96)/SUM('F2.2'!O96:P96),0)</f>
        <v>4523.2362554640795</v>
      </c>
      <c r="O54" s="439">
        <f t="shared" si="23"/>
        <v>0</v>
      </c>
      <c r="P54" s="439">
        <v>0</v>
      </c>
      <c r="Q54" s="439">
        <v>0</v>
      </c>
      <c r="R54" s="439">
        <v>0</v>
      </c>
      <c r="S54" s="439">
        <v>0</v>
      </c>
      <c r="T54" s="439">
        <v>0</v>
      </c>
      <c r="U54" s="388"/>
    </row>
    <row r="55" spans="2:21" s="6" customFormat="1" ht="15.5" x14ac:dyDescent="0.3">
      <c r="B55" s="390"/>
      <c r="C55" s="386"/>
      <c r="D55" s="389"/>
      <c r="E55" s="517"/>
      <c r="F55" s="517"/>
      <c r="G55" s="517"/>
      <c r="H55" s="517"/>
      <c r="I55" s="517"/>
      <c r="J55" s="517"/>
      <c r="K55" s="517"/>
      <c r="L55" s="517"/>
      <c r="M55" s="517"/>
      <c r="N55" s="517"/>
      <c r="O55" s="517"/>
      <c r="P55" s="517"/>
      <c r="Q55" s="517"/>
      <c r="R55" s="517"/>
      <c r="S55" s="517"/>
      <c r="T55" s="517"/>
      <c r="U55" s="380"/>
    </row>
    <row r="56" spans="2:21" s="6" customFormat="1" ht="15" x14ac:dyDescent="0.3">
      <c r="B56" s="456" t="s">
        <v>801</v>
      </c>
      <c r="C56" s="341" t="s">
        <v>1645</v>
      </c>
      <c r="D56" s="407"/>
      <c r="E56" s="517"/>
      <c r="F56" s="517"/>
      <c r="G56" s="517"/>
      <c r="H56" s="517"/>
      <c r="I56" s="517"/>
      <c r="J56" s="517"/>
      <c r="K56" s="517"/>
      <c r="L56" s="517"/>
      <c r="M56" s="517"/>
      <c r="N56" s="517"/>
      <c r="O56" s="517"/>
      <c r="P56" s="517"/>
      <c r="Q56" s="517"/>
      <c r="R56" s="517"/>
      <c r="S56" s="517"/>
      <c r="T56" s="517"/>
      <c r="U56" s="380"/>
    </row>
    <row r="57" spans="2:21" s="6" customFormat="1" ht="15.5" x14ac:dyDescent="0.35">
      <c r="B57" s="456">
        <v>1</v>
      </c>
      <c r="C57" s="384" t="s">
        <v>791</v>
      </c>
      <c r="D57" s="407" t="s">
        <v>885</v>
      </c>
      <c r="E57" s="517"/>
      <c r="F57" s="517"/>
      <c r="G57" s="517"/>
      <c r="H57" s="517"/>
      <c r="I57" s="517"/>
      <c r="J57" s="517"/>
      <c r="K57" s="517"/>
      <c r="L57" s="517"/>
      <c r="M57" s="517"/>
      <c r="N57" s="517"/>
      <c r="O57" s="517"/>
      <c r="P57" s="517"/>
      <c r="Q57" s="517"/>
      <c r="R57" s="517"/>
      <c r="S57" s="517"/>
      <c r="T57" s="517"/>
      <c r="U57" s="380"/>
    </row>
    <row r="58" spans="2:21" s="6" customFormat="1" ht="15.5" x14ac:dyDescent="0.35">
      <c r="B58" s="456">
        <f>+B57+1</f>
        <v>2</v>
      </c>
      <c r="C58" s="384" t="s">
        <v>792</v>
      </c>
      <c r="D58" s="407" t="s">
        <v>885</v>
      </c>
      <c r="E58" s="517"/>
      <c r="F58" s="517"/>
      <c r="G58" s="517"/>
      <c r="H58" s="517"/>
      <c r="I58" s="517"/>
      <c r="J58" s="517"/>
      <c r="K58" s="517"/>
      <c r="L58" s="517"/>
      <c r="M58" s="517"/>
      <c r="N58" s="517"/>
      <c r="O58" s="517"/>
      <c r="P58" s="517"/>
      <c r="Q58" s="517"/>
      <c r="R58" s="517"/>
      <c r="S58" s="517"/>
      <c r="T58" s="517"/>
      <c r="U58" s="380"/>
    </row>
    <row r="59" spans="2:21" s="6" customFormat="1" ht="15.5" x14ac:dyDescent="0.35">
      <c r="B59" s="456">
        <f t="shared" ref="B59:B67" si="24">+B58+1</f>
        <v>3</v>
      </c>
      <c r="C59" s="384" t="s">
        <v>228</v>
      </c>
      <c r="D59" s="407" t="s">
        <v>885</v>
      </c>
      <c r="E59" s="517"/>
      <c r="F59" s="517"/>
      <c r="G59" s="517"/>
      <c r="H59" s="517"/>
      <c r="I59" s="517"/>
      <c r="J59" s="517"/>
      <c r="K59" s="517"/>
      <c r="L59" s="517"/>
      <c r="M59" s="517"/>
      <c r="N59" s="517"/>
      <c r="O59" s="517"/>
      <c r="P59" s="517"/>
      <c r="Q59" s="517"/>
      <c r="R59" s="517"/>
      <c r="S59" s="517"/>
      <c r="T59" s="517"/>
      <c r="U59" s="380"/>
    </row>
    <row r="60" spans="2:21" s="6" customFormat="1" ht="15.5" x14ac:dyDescent="0.35">
      <c r="B60" s="456">
        <f t="shared" si="24"/>
        <v>4</v>
      </c>
      <c r="C60" s="384" t="s">
        <v>793</v>
      </c>
      <c r="D60" s="407" t="s">
        <v>885</v>
      </c>
      <c r="E60" s="517"/>
      <c r="F60" s="517"/>
      <c r="G60" s="517"/>
      <c r="H60" s="517"/>
      <c r="I60" s="517"/>
      <c r="J60" s="517"/>
      <c r="K60" s="517"/>
      <c r="L60" s="517"/>
      <c r="M60" s="517"/>
      <c r="N60" s="517"/>
      <c r="O60" s="517"/>
      <c r="P60" s="517"/>
      <c r="Q60" s="517"/>
      <c r="R60" s="517"/>
      <c r="S60" s="517"/>
      <c r="T60" s="517"/>
      <c r="U60" s="380"/>
    </row>
    <row r="61" spans="2:21" s="6" customFormat="1" ht="15.5" x14ac:dyDescent="0.35">
      <c r="B61" s="456">
        <f t="shared" si="24"/>
        <v>5</v>
      </c>
      <c r="C61" s="384" t="s">
        <v>794</v>
      </c>
      <c r="D61" s="407" t="s">
        <v>885</v>
      </c>
      <c r="E61" s="517"/>
      <c r="F61" s="517"/>
      <c r="G61" s="517"/>
      <c r="H61" s="517"/>
      <c r="I61" s="517"/>
      <c r="J61" s="517"/>
      <c r="K61" s="517"/>
      <c r="L61" s="517"/>
      <c r="M61" s="517"/>
      <c r="N61" s="517"/>
      <c r="O61" s="517"/>
      <c r="P61" s="517"/>
      <c r="Q61" s="517"/>
      <c r="R61" s="517"/>
      <c r="S61" s="517"/>
      <c r="T61" s="517"/>
      <c r="U61" s="380"/>
    </row>
    <row r="62" spans="2:21" s="6" customFormat="1" ht="15.5" x14ac:dyDescent="0.35">
      <c r="B62" s="456">
        <f t="shared" si="24"/>
        <v>6</v>
      </c>
      <c r="C62" s="384" t="s">
        <v>785</v>
      </c>
      <c r="D62" s="407" t="s">
        <v>885</v>
      </c>
      <c r="E62" s="517"/>
      <c r="F62" s="517"/>
      <c r="G62" s="517"/>
      <c r="H62" s="517"/>
      <c r="I62" s="517"/>
      <c r="J62" s="517"/>
      <c r="K62" s="517"/>
      <c r="L62" s="517"/>
      <c r="M62" s="517"/>
      <c r="N62" s="517"/>
      <c r="O62" s="517"/>
      <c r="P62" s="517"/>
      <c r="Q62" s="517"/>
      <c r="R62" s="517"/>
      <c r="S62" s="517"/>
      <c r="T62" s="517"/>
      <c r="U62" s="380"/>
    </row>
    <row r="63" spans="2:21" s="6" customFormat="1" ht="15.5" x14ac:dyDescent="0.35">
      <c r="B63" s="456">
        <f t="shared" si="24"/>
        <v>7</v>
      </c>
      <c r="C63" s="384" t="s">
        <v>786</v>
      </c>
      <c r="D63" s="407" t="s">
        <v>885</v>
      </c>
      <c r="E63" s="517"/>
      <c r="F63" s="517"/>
      <c r="G63" s="517"/>
      <c r="H63" s="517"/>
      <c r="I63" s="517"/>
      <c r="J63" s="517"/>
      <c r="K63" s="517"/>
      <c r="L63" s="517"/>
      <c r="M63" s="517"/>
      <c r="N63" s="517"/>
      <c r="O63" s="517"/>
      <c r="P63" s="517"/>
      <c r="Q63" s="517"/>
      <c r="R63" s="517"/>
      <c r="S63" s="517"/>
      <c r="T63" s="517"/>
      <c r="U63" s="380"/>
    </row>
    <row r="64" spans="2:21" s="6" customFormat="1" ht="15.5" x14ac:dyDescent="0.35">
      <c r="B64" s="456">
        <f t="shared" si="24"/>
        <v>8</v>
      </c>
      <c r="C64" s="384" t="s">
        <v>787</v>
      </c>
      <c r="D64" s="407" t="s">
        <v>885</v>
      </c>
      <c r="E64" s="517"/>
      <c r="F64" s="517"/>
      <c r="G64" s="517"/>
      <c r="H64" s="517"/>
      <c r="I64" s="517"/>
      <c r="J64" s="517"/>
      <c r="K64" s="517"/>
      <c r="L64" s="517"/>
      <c r="M64" s="517"/>
      <c r="N64" s="517"/>
      <c r="O64" s="517"/>
      <c r="P64" s="517"/>
      <c r="Q64" s="517"/>
      <c r="R64" s="517"/>
      <c r="S64" s="517"/>
      <c r="T64" s="517"/>
      <c r="U64" s="380"/>
    </row>
    <row r="65" spans="2:21" s="6" customFormat="1" ht="15.5" x14ac:dyDescent="0.35">
      <c r="B65" s="456">
        <f t="shared" si="24"/>
        <v>9</v>
      </c>
      <c r="C65" s="384" t="s">
        <v>886</v>
      </c>
      <c r="D65" s="407" t="s">
        <v>885</v>
      </c>
      <c r="E65" s="517"/>
      <c r="F65" s="517"/>
      <c r="G65" s="517"/>
      <c r="H65" s="517"/>
      <c r="I65" s="517"/>
      <c r="J65" s="517"/>
      <c r="K65" s="517"/>
      <c r="L65" s="517"/>
      <c r="M65" s="517"/>
      <c r="N65" s="517"/>
      <c r="O65" s="517"/>
      <c r="P65" s="517"/>
      <c r="Q65" s="517"/>
      <c r="R65" s="517"/>
      <c r="S65" s="517"/>
      <c r="T65" s="517"/>
      <c r="U65" s="380"/>
    </row>
    <row r="66" spans="2:21" s="6" customFormat="1" ht="15.5" x14ac:dyDescent="0.35">
      <c r="B66" s="456">
        <f t="shared" si="24"/>
        <v>10</v>
      </c>
      <c r="C66" s="384" t="s">
        <v>210</v>
      </c>
      <c r="D66" s="407" t="s">
        <v>885</v>
      </c>
      <c r="E66" s="517"/>
      <c r="F66" s="517"/>
      <c r="G66" s="517"/>
      <c r="H66" s="517"/>
      <c r="I66" s="517"/>
      <c r="J66" s="517"/>
      <c r="K66" s="517"/>
      <c r="L66" s="517"/>
      <c r="M66" s="517"/>
      <c r="N66" s="517"/>
      <c r="O66" s="517"/>
      <c r="P66" s="517"/>
      <c r="Q66" s="517"/>
      <c r="R66" s="517"/>
      <c r="S66" s="517"/>
      <c r="T66" s="517"/>
      <c r="U66" s="380"/>
    </row>
    <row r="67" spans="2:21" s="6" customFormat="1" ht="15.5" x14ac:dyDescent="0.35">
      <c r="B67" s="456">
        <f t="shared" si="24"/>
        <v>11</v>
      </c>
      <c r="C67" s="384" t="s">
        <v>809</v>
      </c>
      <c r="D67" s="407" t="s">
        <v>885</v>
      </c>
      <c r="E67" s="517"/>
      <c r="F67" s="517"/>
      <c r="G67" s="517"/>
      <c r="H67" s="517"/>
      <c r="I67" s="517"/>
      <c r="J67" s="517"/>
      <c r="K67" s="517"/>
      <c r="L67" s="517"/>
      <c r="M67" s="517"/>
      <c r="N67" s="517"/>
      <c r="O67" s="517"/>
      <c r="P67" s="517"/>
      <c r="Q67" s="517"/>
      <c r="R67" s="517"/>
      <c r="S67" s="517"/>
      <c r="T67" s="517"/>
      <c r="U67" s="380"/>
    </row>
    <row r="68" spans="2:21" s="6" customFormat="1" ht="15" x14ac:dyDescent="0.3">
      <c r="B68" s="456"/>
      <c r="C68" s="341" t="s">
        <v>1646</v>
      </c>
      <c r="D68" s="407" t="s">
        <v>885</v>
      </c>
      <c r="E68" s="517"/>
      <c r="F68" s="517"/>
      <c r="G68" s="517"/>
      <c r="H68" s="517"/>
      <c r="I68" s="517"/>
      <c r="J68" s="517"/>
      <c r="K68" s="517"/>
      <c r="L68" s="517"/>
      <c r="M68" s="517"/>
      <c r="N68" s="517"/>
      <c r="O68" s="517"/>
      <c r="P68" s="517">
        <v>0</v>
      </c>
      <c r="Q68" s="517">
        <v>0</v>
      </c>
      <c r="R68" s="517">
        <v>0</v>
      </c>
      <c r="S68" s="517">
        <v>0</v>
      </c>
      <c r="T68" s="517">
        <v>0</v>
      </c>
      <c r="U68" s="380"/>
    </row>
    <row r="69" spans="2:21" s="6" customFormat="1" ht="15" x14ac:dyDescent="0.3">
      <c r="B69" s="456"/>
      <c r="C69" s="341"/>
      <c r="D69" s="407"/>
      <c r="E69" s="517"/>
      <c r="F69" s="517"/>
      <c r="G69" s="517"/>
      <c r="H69" s="517"/>
      <c r="I69" s="517"/>
      <c r="J69" s="517"/>
      <c r="K69" s="517"/>
      <c r="L69" s="517"/>
      <c r="M69" s="517"/>
      <c r="N69" s="517"/>
      <c r="O69" s="517"/>
      <c r="P69" s="517"/>
      <c r="Q69" s="517"/>
      <c r="R69" s="517"/>
      <c r="S69" s="517"/>
      <c r="T69" s="517"/>
      <c r="U69" s="380"/>
    </row>
    <row r="70" spans="2:21" s="6" customFormat="1" ht="15" x14ac:dyDescent="0.3">
      <c r="B70" s="456" t="s">
        <v>888</v>
      </c>
      <c r="C70" s="341" t="s">
        <v>1647</v>
      </c>
      <c r="D70" s="407"/>
      <c r="E70" s="517"/>
      <c r="F70" s="517"/>
      <c r="G70" s="517"/>
      <c r="H70" s="517"/>
      <c r="I70" s="517"/>
      <c r="J70" s="517"/>
      <c r="K70" s="517"/>
      <c r="L70" s="517"/>
      <c r="M70" s="517"/>
      <c r="N70" s="517"/>
      <c r="O70" s="517"/>
      <c r="P70" s="517"/>
      <c r="Q70" s="517"/>
      <c r="R70" s="517"/>
      <c r="S70" s="517"/>
      <c r="T70" s="517"/>
      <c r="U70" s="380"/>
    </row>
    <row r="71" spans="2:21" s="6" customFormat="1" ht="15.5" x14ac:dyDescent="0.35">
      <c r="B71" s="456">
        <v>1</v>
      </c>
      <c r="C71" s="384" t="s">
        <v>791</v>
      </c>
      <c r="D71" s="407" t="s">
        <v>885</v>
      </c>
      <c r="E71" s="517"/>
      <c r="F71" s="517"/>
      <c r="G71" s="517"/>
      <c r="H71" s="517"/>
      <c r="I71" s="517"/>
      <c r="J71" s="517"/>
      <c r="K71" s="517"/>
      <c r="L71" s="517"/>
      <c r="M71" s="517"/>
      <c r="N71" s="517"/>
      <c r="O71" s="517"/>
      <c r="P71" s="517"/>
      <c r="Q71" s="517"/>
      <c r="R71" s="517"/>
      <c r="S71" s="517"/>
      <c r="T71" s="517"/>
      <c r="U71" s="380"/>
    </row>
    <row r="72" spans="2:21" s="6" customFormat="1" ht="15.5" x14ac:dyDescent="0.35">
      <c r="B72" s="456">
        <f>+B71+1</f>
        <v>2</v>
      </c>
      <c r="C72" s="384" t="s">
        <v>792</v>
      </c>
      <c r="D72" s="407" t="s">
        <v>885</v>
      </c>
      <c r="E72" s="517"/>
      <c r="F72" s="517"/>
      <c r="G72" s="517"/>
      <c r="H72" s="517"/>
      <c r="I72" s="517"/>
      <c r="J72" s="517"/>
      <c r="K72" s="517"/>
      <c r="L72" s="517"/>
      <c r="M72" s="517"/>
      <c r="N72" s="517"/>
      <c r="O72" s="517"/>
      <c r="P72" s="517"/>
      <c r="Q72" s="517"/>
      <c r="R72" s="517"/>
      <c r="S72" s="517"/>
      <c r="T72" s="517"/>
      <c r="U72" s="380"/>
    </row>
    <row r="73" spans="2:21" s="6" customFormat="1" ht="15.5" x14ac:dyDescent="0.35">
      <c r="B73" s="456">
        <f t="shared" ref="B73:B81" si="25">+B72+1</f>
        <v>3</v>
      </c>
      <c r="C73" s="384" t="s">
        <v>228</v>
      </c>
      <c r="D73" s="407" t="s">
        <v>885</v>
      </c>
      <c r="E73" s="517"/>
      <c r="F73" s="517"/>
      <c r="G73" s="517"/>
      <c r="H73" s="517"/>
      <c r="I73" s="517"/>
      <c r="J73" s="517"/>
      <c r="K73" s="517"/>
      <c r="L73" s="517"/>
      <c r="M73" s="517"/>
      <c r="N73" s="517"/>
      <c r="O73" s="517"/>
      <c r="P73" s="517"/>
      <c r="Q73" s="517"/>
      <c r="R73" s="517"/>
      <c r="S73" s="517"/>
      <c r="T73" s="517"/>
      <c r="U73" s="380"/>
    </row>
    <row r="74" spans="2:21" s="6" customFormat="1" ht="15.5" x14ac:dyDescent="0.35">
      <c r="B74" s="456">
        <f t="shared" si="25"/>
        <v>4</v>
      </c>
      <c r="C74" s="384" t="s">
        <v>793</v>
      </c>
      <c r="D74" s="407" t="s">
        <v>885</v>
      </c>
      <c r="E74" s="517"/>
      <c r="F74" s="517"/>
      <c r="G74" s="517"/>
      <c r="H74" s="517"/>
      <c r="I74" s="517"/>
      <c r="J74" s="517"/>
      <c r="K74" s="517"/>
      <c r="L74" s="517"/>
      <c r="M74" s="517"/>
      <c r="N74" s="517"/>
      <c r="O74" s="517"/>
      <c r="P74" s="517"/>
      <c r="Q74" s="517"/>
      <c r="R74" s="517"/>
      <c r="S74" s="517"/>
      <c r="T74" s="517"/>
      <c r="U74" s="380"/>
    </row>
    <row r="75" spans="2:21" s="6" customFormat="1" ht="15.5" x14ac:dyDescent="0.35">
      <c r="B75" s="456">
        <f t="shared" si="25"/>
        <v>5</v>
      </c>
      <c r="C75" s="384" t="s">
        <v>794</v>
      </c>
      <c r="D75" s="407" t="s">
        <v>885</v>
      </c>
      <c r="E75" s="517"/>
      <c r="F75" s="517"/>
      <c r="G75" s="517"/>
      <c r="H75" s="517"/>
      <c r="I75" s="517"/>
      <c r="J75" s="517"/>
      <c r="K75" s="517"/>
      <c r="L75" s="517"/>
      <c r="M75" s="517"/>
      <c r="N75" s="517"/>
      <c r="O75" s="517"/>
      <c r="P75" s="517"/>
      <c r="Q75" s="517"/>
      <c r="R75" s="517"/>
      <c r="S75" s="517"/>
      <c r="T75" s="517"/>
      <c r="U75" s="380"/>
    </row>
    <row r="76" spans="2:21" s="6" customFormat="1" ht="15.5" x14ac:dyDescent="0.35">
      <c r="B76" s="456">
        <f t="shared" si="25"/>
        <v>6</v>
      </c>
      <c r="C76" s="384" t="s">
        <v>785</v>
      </c>
      <c r="D76" s="407" t="s">
        <v>885</v>
      </c>
      <c r="E76" s="517"/>
      <c r="F76" s="517"/>
      <c r="G76" s="517"/>
      <c r="H76" s="517"/>
      <c r="I76" s="517"/>
      <c r="J76" s="517"/>
      <c r="K76" s="517"/>
      <c r="L76" s="517"/>
      <c r="M76" s="517"/>
      <c r="N76" s="517"/>
      <c r="O76" s="517"/>
      <c r="P76" s="517"/>
      <c r="Q76" s="517"/>
      <c r="R76" s="517"/>
      <c r="S76" s="517"/>
      <c r="T76" s="517"/>
      <c r="U76" s="380"/>
    </row>
    <row r="77" spans="2:21" s="6" customFormat="1" ht="15.5" x14ac:dyDescent="0.35">
      <c r="B77" s="456">
        <f t="shared" si="25"/>
        <v>7</v>
      </c>
      <c r="C77" s="384" t="s">
        <v>786</v>
      </c>
      <c r="D77" s="407" t="s">
        <v>885</v>
      </c>
      <c r="E77" s="517"/>
      <c r="F77" s="517"/>
      <c r="G77" s="517"/>
      <c r="H77" s="517"/>
      <c r="I77" s="517"/>
      <c r="J77" s="517"/>
      <c r="K77" s="517"/>
      <c r="L77" s="517"/>
      <c r="M77" s="517"/>
      <c r="N77" s="517"/>
      <c r="O77" s="517"/>
      <c r="P77" s="517"/>
      <c r="Q77" s="517"/>
      <c r="R77" s="517"/>
      <c r="S77" s="517"/>
      <c r="T77" s="517"/>
      <c r="U77" s="380"/>
    </row>
    <row r="78" spans="2:21" s="6" customFormat="1" ht="15.5" x14ac:dyDescent="0.35">
      <c r="B78" s="456">
        <f t="shared" si="25"/>
        <v>8</v>
      </c>
      <c r="C78" s="384" t="s">
        <v>787</v>
      </c>
      <c r="D78" s="407" t="s">
        <v>885</v>
      </c>
      <c r="E78" s="517"/>
      <c r="F78" s="517"/>
      <c r="G78" s="517"/>
      <c r="H78" s="517"/>
      <c r="I78" s="517"/>
      <c r="J78" s="517"/>
      <c r="K78" s="517"/>
      <c r="L78" s="517"/>
      <c r="M78" s="517"/>
      <c r="N78" s="517"/>
      <c r="O78" s="517"/>
      <c r="P78" s="517"/>
      <c r="Q78" s="517"/>
      <c r="R78" s="517"/>
      <c r="S78" s="517"/>
      <c r="T78" s="517"/>
      <c r="U78" s="380"/>
    </row>
    <row r="79" spans="2:21" s="6" customFormat="1" ht="15.5" x14ac:dyDescent="0.35">
      <c r="B79" s="456">
        <f t="shared" si="25"/>
        <v>9</v>
      </c>
      <c r="C79" s="384" t="s">
        <v>886</v>
      </c>
      <c r="D79" s="407" t="s">
        <v>885</v>
      </c>
      <c r="E79" s="517"/>
      <c r="F79" s="517"/>
      <c r="G79" s="517"/>
      <c r="H79" s="517"/>
      <c r="I79" s="517"/>
      <c r="J79" s="517"/>
      <c r="K79" s="517"/>
      <c r="L79" s="517"/>
      <c r="M79" s="517"/>
      <c r="N79" s="517"/>
      <c r="O79" s="517"/>
      <c r="P79" s="517"/>
      <c r="Q79" s="517"/>
      <c r="R79" s="517"/>
      <c r="S79" s="517"/>
      <c r="T79" s="517"/>
      <c r="U79" s="380"/>
    </row>
    <row r="80" spans="2:21" s="6" customFormat="1" ht="15.5" x14ac:dyDescent="0.35">
      <c r="B80" s="456">
        <f t="shared" si="25"/>
        <v>10</v>
      </c>
      <c r="C80" s="384" t="s">
        <v>210</v>
      </c>
      <c r="D80" s="407" t="s">
        <v>885</v>
      </c>
      <c r="E80" s="517"/>
      <c r="F80" s="517"/>
      <c r="G80" s="517"/>
      <c r="H80" s="517"/>
      <c r="I80" s="517"/>
      <c r="J80" s="517"/>
      <c r="K80" s="517"/>
      <c r="L80" s="517"/>
      <c r="M80" s="517"/>
      <c r="N80" s="517"/>
      <c r="O80" s="517"/>
      <c r="P80" s="517"/>
      <c r="Q80" s="517"/>
      <c r="R80" s="517"/>
      <c r="S80" s="517"/>
      <c r="T80" s="517"/>
      <c r="U80" s="380"/>
    </row>
    <row r="81" spans="2:21" s="6" customFormat="1" ht="15.5" x14ac:dyDescent="0.35">
      <c r="B81" s="456">
        <f t="shared" si="25"/>
        <v>11</v>
      </c>
      <c r="C81" s="384" t="s">
        <v>809</v>
      </c>
      <c r="D81" s="407" t="s">
        <v>885</v>
      </c>
      <c r="E81" s="517"/>
      <c r="F81" s="517"/>
      <c r="G81" s="517"/>
      <c r="H81" s="517"/>
      <c r="I81" s="517"/>
      <c r="J81" s="517"/>
      <c r="K81" s="517"/>
      <c r="L81" s="517"/>
      <c r="M81" s="517"/>
      <c r="N81" s="517"/>
      <c r="O81" s="517"/>
      <c r="P81" s="517"/>
      <c r="Q81" s="517"/>
      <c r="R81" s="517"/>
      <c r="S81" s="517"/>
      <c r="T81" s="517"/>
      <c r="U81" s="380"/>
    </row>
    <row r="82" spans="2:21" s="6" customFormat="1" ht="15" x14ac:dyDescent="0.3">
      <c r="B82" s="456"/>
      <c r="C82" s="341" t="s">
        <v>1648</v>
      </c>
      <c r="D82" s="407" t="s">
        <v>885</v>
      </c>
      <c r="E82" s="517"/>
      <c r="F82" s="517"/>
      <c r="G82" s="517"/>
      <c r="H82" s="517"/>
      <c r="I82" s="517"/>
      <c r="J82" s="517"/>
      <c r="K82" s="517"/>
      <c r="L82" s="517"/>
      <c r="M82" s="517"/>
      <c r="N82" s="517"/>
      <c r="O82" s="517"/>
      <c r="P82" s="517">
        <v>0</v>
      </c>
      <c r="Q82" s="517">
        <v>0</v>
      </c>
      <c r="R82" s="517">
        <v>0</v>
      </c>
      <c r="S82" s="517">
        <v>0</v>
      </c>
      <c r="T82" s="517">
        <v>0</v>
      </c>
      <c r="U82" s="380"/>
    </row>
    <row r="83" spans="2:21" s="6" customFormat="1" ht="15.5" x14ac:dyDescent="0.3">
      <c r="B83" s="390"/>
      <c r="C83" s="386"/>
      <c r="D83" s="389"/>
      <c r="E83" s="517"/>
      <c r="F83" s="517"/>
      <c r="G83" s="517"/>
      <c r="H83" s="517"/>
      <c r="I83" s="517"/>
      <c r="J83" s="517"/>
      <c r="K83" s="517"/>
      <c r="L83" s="517"/>
      <c r="M83" s="517"/>
      <c r="N83" s="517"/>
      <c r="O83" s="517"/>
      <c r="P83" s="517"/>
      <c r="Q83" s="517"/>
      <c r="R83" s="517"/>
      <c r="S83" s="517"/>
      <c r="T83" s="517"/>
      <c r="U83" s="380"/>
    </row>
    <row r="84" spans="2:21" s="6" customFormat="1" ht="15" x14ac:dyDescent="0.3">
      <c r="B84" s="340" t="s">
        <v>801</v>
      </c>
      <c r="C84" s="341" t="s">
        <v>796</v>
      </c>
      <c r="D84" s="391"/>
      <c r="E84" s="517"/>
      <c r="F84" s="517"/>
      <c r="G84" s="517"/>
      <c r="H84" s="517"/>
      <c r="I84" s="517"/>
      <c r="J84" s="517"/>
      <c r="K84" s="517"/>
      <c r="L84" s="517"/>
      <c r="M84" s="517"/>
      <c r="N84" s="517"/>
      <c r="O84" s="517"/>
      <c r="P84" s="517"/>
      <c r="Q84" s="517"/>
      <c r="R84" s="517"/>
      <c r="S84" s="517"/>
      <c r="T84" s="517"/>
      <c r="U84" s="380"/>
    </row>
    <row r="85" spans="2:21" s="6" customFormat="1" ht="15.5" x14ac:dyDescent="0.35">
      <c r="B85" s="342">
        <v>1</v>
      </c>
      <c r="C85" s="384" t="s">
        <v>141</v>
      </c>
      <c r="D85" s="391" t="s">
        <v>800</v>
      </c>
      <c r="E85" s="457">
        <f>F85</f>
        <v>63191.920370000007</v>
      </c>
      <c r="F85" s="457">
        <v>63191.920370000007</v>
      </c>
      <c r="G85" s="457">
        <f t="shared" ref="G85:G96" si="26">F85-E85</f>
        <v>0</v>
      </c>
      <c r="H85" s="457">
        <f>I85</f>
        <v>69934.138982973003</v>
      </c>
      <c r="I85" s="457">
        <v>69934.138982973003</v>
      </c>
      <c r="J85" s="457">
        <f t="shared" ref="J85:J96" si="27">I85-H85</f>
        <v>0</v>
      </c>
      <c r="K85" s="682"/>
      <c r="L85" s="457">
        <v>67023.916210725438</v>
      </c>
      <c r="M85" s="457"/>
      <c r="N85" s="457"/>
      <c r="O85" s="457">
        <f t="shared" ref="O85:O96" si="28">N85-K85</f>
        <v>0</v>
      </c>
      <c r="P85" s="457"/>
      <c r="Q85" s="457"/>
      <c r="R85" s="457"/>
      <c r="S85" s="457"/>
      <c r="T85" s="457"/>
      <c r="U85" s="380"/>
    </row>
    <row r="86" spans="2:21" s="6" customFormat="1" ht="15.5" x14ac:dyDescent="0.35">
      <c r="B86" s="342">
        <v>2</v>
      </c>
      <c r="C86" s="384" t="s">
        <v>784</v>
      </c>
      <c r="D86" s="391" t="s">
        <v>800</v>
      </c>
      <c r="E86" s="457">
        <f t="shared" ref="E86:E96" si="29">F86</f>
        <v>900</v>
      </c>
      <c r="F86" s="457">
        <v>900</v>
      </c>
      <c r="G86" s="457">
        <f t="shared" si="26"/>
        <v>0</v>
      </c>
      <c r="H86" s="457">
        <f t="shared" ref="H86:H96" si="30">I86</f>
        <v>872.99351721921289</v>
      </c>
      <c r="I86" s="457">
        <v>872.99351721921289</v>
      </c>
      <c r="J86" s="457">
        <f t="shared" si="27"/>
        <v>0</v>
      </c>
      <c r="K86" s="682"/>
      <c r="L86" s="457">
        <v>1359.8870423193757</v>
      </c>
      <c r="M86" s="457"/>
      <c r="N86" s="457"/>
      <c r="O86" s="457">
        <f t="shared" si="28"/>
        <v>0</v>
      </c>
      <c r="P86" s="457"/>
      <c r="Q86" s="457"/>
      <c r="R86" s="457"/>
      <c r="S86" s="457"/>
      <c r="T86" s="457"/>
      <c r="U86" s="380"/>
    </row>
    <row r="87" spans="2:21" s="404" customFormat="1" ht="15.5" x14ac:dyDescent="0.35">
      <c r="B87" s="402">
        <v>3</v>
      </c>
      <c r="C87" s="384" t="s">
        <v>228</v>
      </c>
      <c r="D87" s="446" t="s">
        <v>800</v>
      </c>
      <c r="E87" s="457">
        <f t="shared" si="29"/>
        <v>0</v>
      </c>
      <c r="F87" s="457">
        <v>0</v>
      </c>
      <c r="G87" s="457">
        <f t="shared" si="26"/>
        <v>0</v>
      </c>
      <c r="H87" s="457">
        <f t="shared" si="30"/>
        <v>0</v>
      </c>
      <c r="I87" s="457">
        <v>0</v>
      </c>
      <c r="J87" s="457">
        <f t="shared" si="27"/>
        <v>0</v>
      </c>
      <c r="K87" s="682"/>
      <c r="L87" s="457">
        <v>0</v>
      </c>
      <c r="M87" s="457"/>
      <c r="N87" s="457"/>
      <c r="O87" s="457">
        <f t="shared" si="28"/>
        <v>0</v>
      </c>
      <c r="P87" s="457"/>
      <c r="Q87" s="457"/>
      <c r="R87" s="457"/>
      <c r="S87" s="457"/>
      <c r="T87" s="457"/>
      <c r="U87" s="388"/>
    </row>
    <row r="88" spans="2:21" s="404" customFormat="1" ht="15.5" x14ac:dyDescent="0.35">
      <c r="B88" s="402">
        <v>4</v>
      </c>
      <c r="C88" s="384" t="s">
        <v>793</v>
      </c>
      <c r="D88" s="446" t="s">
        <v>800</v>
      </c>
      <c r="E88" s="457">
        <f t="shared" si="29"/>
        <v>0</v>
      </c>
      <c r="F88" s="457">
        <v>0</v>
      </c>
      <c r="G88" s="457">
        <f t="shared" si="26"/>
        <v>0</v>
      </c>
      <c r="H88" s="457">
        <f t="shared" si="30"/>
        <v>84.712847747643394</v>
      </c>
      <c r="I88" s="457">
        <v>84.712847747643394</v>
      </c>
      <c r="J88" s="457">
        <f t="shared" si="27"/>
        <v>0</v>
      </c>
      <c r="K88" s="682"/>
      <c r="L88" s="457">
        <v>35.405622458042892</v>
      </c>
      <c r="M88" s="457"/>
      <c r="N88" s="457"/>
      <c r="O88" s="457">
        <f t="shared" si="28"/>
        <v>0</v>
      </c>
      <c r="P88" s="457"/>
      <c r="Q88" s="457"/>
      <c r="R88" s="457"/>
      <c r="S88" s="457"/>
      <c r="T88" s="457"/>
      <c r="U88" s="388"/>
    </row>
    <row r="89" spans="2:21" s="6" customFormat="1" ht="15.5" x14ac:dyDescent="0.35">
      <c r="B89" s="342">
        <v>5</v>
      </c>
      <c r="C89" s="384" t="s">
        <v>142</v>
      </c>
      <c r="D89" s="391" t="s">
        <v>800</v>
      </c>
      <c r="E89" s="457">
        <f t="shared" si="29"/>
        <v>14000</v>
      </c>
      <c r="F89" s="457">
        <v>14000</v>
      </c>
      <c r="G89" s="457">
        <f t="shared" si="26"/>
        <v>0</v>
      </c>
      <c r="H89" s="457">
        <f t="shared" si="30"/>
        <v>12520.205496736402</v>
      </c>
      <c r="I89" s="457">
        <v>12520.205496736402</v>
      </c>
      <c r="J89" s="457">
        <f t="shared" si="27"/>
        <v>0</v>
      </c>
      <c r="K89" s="682"/>
      <c r="L89" s="457">
        <v>12035.431310876902</v>
      </c>
      <c r="M89" s="457"/>
      <c r="N89" s="457"/>
      <c r="O89" s="457">
        <f t="shared" si="28"/>
        <v>0</v>
      </c>
      <c r="P89" s="457"/>
      <c r="Q89" s="457"/>
      <c r="R89" s="457"/>
      <c r="S89" s="457"/>
      <c r="T89" s="457"/>
      <c r="U89" s="380"/>
    </row>
    <row r="90" spans="2:21" s="6" customFormat="1" ht="15.5" x14ac:dyDescent="0.35">
      <c r="B90" s="342">
        <v>6</v>
      </c>
      <c r="C90" s="384" t="s">
        <v>785</v>
      </c>
      <c r="D90" s="391" t="s">
        <v>800</v>
      </c>
      <c r="E90" s="457">
        <f t="shared" si="29"/>
        <v>0</v>
      </c>
      <c r="F90" s="457">
        <v>0</v>
      </c>
      <c r="G90" s="457">
        <f t="shared" si="26"/>
        <v>0</v>
      </c>
      <c r="H90" s="457">
        <f t="shared" si="30"/>
        <v>0</v>
      </c>
      <c r="I90" s="457">
        <v>0</v>
      </c>
      <c r="J90" s="457">
        <f t="shared" si="27"/>
        <v>0</v>
      </c>
      <c r="K90" s="682"/>
      <c r="L90" s="457">
        <v>0</v>
      </c>
      <c r="M90" s="457"/>
      <c r="N90" s="457"/>
      <c r="O90" s="457">
        <f t="shared" si="28"/>
        <v>0</v>
      </c>
      <c r="P90" s="457"/>
      <c r="Q90" s="457"/>
      <c r="R90" s="457"/>
      <c r="S90" s="457"/>
      <c r="T90" s="457"/>
      <c r="U90" s="380"/>
    </row>
    <row r="91" spans="2:21" s="6" customFormat="1" ht="15.5" x14ac:dyDescent="0.35">
      <c r="B91" s="342">
        <v>7</v>
      </c>
      <c r="C91" s="384" t="s">
        <v>786</v>
      </c>
      <c r="D91" s="391" t="s">
        <v>800</v>
      </c>
      <c r="E91" s="457">
        <f t="shared" si="29"/>
        <v>0</v>
      </c>
      <c r="F91" s="457">
        <v>0</v>
      </c>
      <c r="G91" s="457">
        <f t="shared" si="26"/>
        <v>0</v>
      </c>
      <c r="H91" s="457">
        <f t="shared" si="30"/>
        <v>0</v>
      </c>
      <c r="I91" s="457">
        <v>0</v>
      </c>
      <c r="J91" s="457">
        <f t="shared" si="27"/>
        <v>0</v>
      </c>
      <c r="K91" s="682"/>
      <c r="L91" s="457">
        <v>0</v>
      </c>
      <c r="M91" s="457"/>
      <c r="N91" s="457"/>
      <c r="O91" s="457">
        <f t="shared" si="28"/>
        <v>0</v>
      </c>
      <c r="P91" s="457"/>
      <c r="Q91" s="457"/>
      <c r="R91" s="457"/>
      <c r="S91" s="457"/>
      <c r="T91" s="457"/>
      <c r="U91" s="380"/>
    </row>
    <row r="92" spans="2:21" s="6" customFormat="1" ht="15.5" x14ac:dyDescent="0.35">
      <c r="B92" s="342">
        <v>8</v>
      </c>
      <c r="C92" s="384" t="s">
        <v>787</v>
      </c>
      <c r="D92" s="391" t="s">
        <v>800</v>
      </c>
      <c r="E92" s="457">
        <f t="shared" si="29"/>
        <v>0</v>
      </c>
      <c r="F92" s="457">
        <v>0</v>
      </c>
      <c r="G92" s="457">
        <f t="shared" si="26"/>
        <v>0</v>
      </c>
      <c r="H92" s="457">
        <f t="shared" si="30"/>
        <v>0</v>
      </c>
      <c r="I92" s="457">
        <v>0</v>
      </c>
      <c r="J92" s="457">
        <f t="shared" si="27"/>
        <v>0</v>
      </c>
      <c r="K92" s="682"/>
      <c r="L92" s="457">
        <v>0</v>
      </c>
      <c r="M92" s="457"/>
      <c r="N92" s="457"/>
      <c r="O92" s="457">
        <f t="shared" si="28"/>
        <v>0</v>
      </c>
      <c r="P92" s="457"/>
      <c r="Q92" s="457"/>
      <c r="R92" s="457"/>
      <c r="S92" s="457"/>
      <c r="T92" s="457"/>
      <c r="U92" s="380"/>
    </row>
    <row r="93" spans="2:21" s="6" customFormat="1" ht="15.5" x14ac:dyDescent="0.35">
      <c r="B93" s="342">
        <v>9</v>
      </c>
      <c r="C93" s="384" t="s">
        <v>826</v>
      </c>
      <c r="D93" s="391" t="s">
        <v>800</v>
      </c>
      <c r="E93" s="457">
        <f t="shared" si="29"/>
        <v>0</v>
      </c>
      <c r="F93" s="457">
        <v>0</v>
      </c>
      <c r="G93" s="457">
        <f t="shared" si="26"/>
        <v>0</v>
      </c>
      <c r="H93" s="457">
        <f t="shared" si="30"/>
        <v>-1335.1481438487274</v>
      </c>
      <c r="I93" s="457">
        <v>-1335.1481438487274</v>
      </c>
      <c r="J93" s="457">
        <f t="shared" si="27"/>
        <v>0</v>
      </c>
      <c r="K93" s="682"/>
      <c r="L93" s="457">
        <v>-1555.7015928533999</v>
      </c>
      <c r="M93" s="457"/>
      <c r="N93" s="457"/>
      <c r="O93" s="457">
        <f t="shared" si="28"/>
        <v>0</v>
      </c>
      <c r="P93" s="457"/>
      <c r="Q93" s="457"/>
      <c r="R93" s="457"/>
      <c r="S93" s="457"/>
      <c r="T93" s="457"/>
      <c r="U93" s="380"/>
    </row>
    <row r="94" spans="2:21" s="404" customFormat="1" ht="15.5" x14ac:dyDescent="0.3">
      <c r="B94" s="402">
        <v>10</v>
      </c>
      <c r="C94" s="433" t="s">
        <v>210</v>
      </c>
      <c r="D94" s="446" t="s">
        <v>800</v>
      </c>
      <c r="E94" s="457">
        <f t="shared" si="29"/>
        <v>0</v>
      </c>
      <c r="F94" s="457">
        <v>0</v>
      </c>
      <c r="G94" s="457">
        <f t="shared" si="26"/>
        <v>0</v>
      </c>
      <c r="H94" s="457">
        <f t="shared" si="30"/>
        <v>0</v>
      </c>
      <c r="I94" s="457">
        <v>0</v>
      </c>
      <c r="J94" s="457">
        <f t="shared" si="27"/>
        <v>0</v>
      </c>
      <c r="K94" s="682"/>
      <c r="L94" s="457">
        <v>0</v>
      </c>
      <c r="M94" s="457"/>
      <c r="N94" s="457"/>
      <c r="O94" s="457">
        <f t="shared" si="28"/>
        <v>0</v>
      </c>
      <c r="P94" s="457"/>
      <c r="Q94" s="457"/>
      <c r="R94" s="457"/>
      <c r="S94" s="457"/>
      <c r="T94" s="457"/>
      <c r="U94" s="388"/>
    </row>
    <row r="95" spans="2:21" s="6" customFormat="1" ht="15.5" x14ac:dyDescent="0.35">
      <c r="B95" s="342">
        <v>11</v>
      </c>
      <c r="C95" s="384" t="s">
        <v>789</v>
      </c>
      <c r="D95" s="391" t="s">
        <v>800</v>
      </c>
      <c r="E95" s="457">
        <f t="shared" si="29"/>
        <v>0</v>
      </c>
      <c r="F95" s="457"/>
      <c r="G95" s="457">
        <f t="shared" si="26"/>
        <v>0</v>
      </c>
      <c r="H95" s="457">
        <f t="shared" si="30"/>
        <v>0</v>
      </c>
      <c r="I95" s="457"/>
      <c r="J95" s="457">
        <f t="shared" si="27"/>
        <v>0</v>
      </c>
      <c r="K95" s="682"/>
      <c r="L95" s="457"/>
      <c r="M95" s="690"/>
      <c r="N95" s="457"/>
      <c r="O95" s="457">
        <f t="shared" si="28"/>
        <v>0</v>
      </c>
      <c r="P95" s="457"/>
      <c r="Q95" s="457"/>
      <c r="R95" s="457"/>
      <c r="S95" s="457"/>
      <c r="T95" s="457"/>
      <c r="U95" s="380"/>
    </row>
    <row r="96" spans="2:21" s="6" customFormat="1" ht="15.5" x14ac:dyDescent="0.35">
      <c r="B96" s="342">
        <v>12</v>
      </c>
      <c r="C96" s="384" t="s">
        <v>143</v>
      </c>
      <c r="D96" s="391" t="s">
        <v>800</v>
      </c>
      <c r="E96" s="457">
        <f t="shared" si="29"/>
        <v>0</v>
      </c>
      <c r="F96" s="457"/>
      <c r="G96" s="457">
        <f t="shared" si="26"/>
        <v>0</v>
      </c>
      <c r="H96" s="457">
        <f t="shared" si="30"/>
        <v>0</v>
      </c>
      <c r="I96" s="457"/>
      <c r="J96" s="457">
        <f t="shared" si="27"/>
        <v>0</v>
      </c>
      <c r="K96" s="682"/>
      <c r="L96" s="457"/>
      <c r="M96" s="690"/>
      <c r="N96" s="457"/>
      <c r="O96" s="457">
        <f t="shared" si="28"/>
        <v>0</v>
      </c>
      <c r="P96" s="457"/>
      <c r="Q96" s="457"/>
      <c r="R96" s="457"/>
      <c r="S96" s="457"/>
      <c r="T96" s="457"/>
      <c r="U96" s="380"/>
    </row>
    <row r="97" spans="2:21" s="6" customFormat="1" ht="15" x14ac:dyDescent="0.3">
      <c r="B97" s="340"/>
      <c r="C97" s="341" t="s">
        <v>797</v>
      </c>
      <c r="D97" s="391" t="s">
        <v>800</v>
      </c>
      <c r="E97" s="458">
        <f t="shared" ref="E97:O97" si="31">SUM(E85:E96)</f>
        <v>78091.920370000007</v>
      </c>
      <c r="F97" s="458">
        <f t="shared" si="31"/>
        <v>78091.920370000007</v>
      </c>
      <c r="G97" s="458">
        <f t="shared" si="31"/>
        <v>0</v>
      </c>
      <c r="H97" s="458">
        <f t="shared" ref="H97" si="32">SUM(H85:H96)</f>
        <v>82076.902700827544</v>
      </c>
      <c r="I97" s="458">
        <f t="shared" si="31"/>
        <v>82076.902700827544</v>
      </c>
      <c r="J97" s="458">
        <f t="shared" si="31"/>
        <v>0</v>
      </c>
      <c r="K97" s="458">
        <f>N97</f>
        <v>80160.477834022662</v>
      </c>
      <c r="L97" s="458">
        <f t="shared" si="31"/>
        <v>78898.938593526356</v>
      </c>
      <c r="M97" s="458">
        <v>82076.902700827544</v>
      </c>
      <c r="N97" s="458">
        <f>SUMPRODUCT(L97:M97,'F2.2'!O100:P100)/SUM('F2.2'!O100:P100)</f>
        <v>80160.477834022662</v>
      </c>
      <c r="O97" s="458">
        <f t="shared" si="31"/>
        <v>0</v>
      </c>
      <c r="P97" s="458">
        <v>81996.516388500007</v>
      </c>
      <c r="Q97" s="458">
        <v>86096.342207925016</v>
      </c>
      <c r="R97" s="458">
        <v>90401.159318321268</v>
      </c>
      <c r="S97" s="458">
        <v>94921.21728423734</v>
      </c>
      <c r="T97" s="458">
        <v>99667.278148449215</v>
      </c>
      <c r="U97" s="385"/>
    </row>
    <row r="98" spans="2:21" s="6" customFormat="1" ht="15.5" x14ac:dyDescent="0.35">
      <c r="B98" s="342"/>
      <c r="C98" s="384"/>
      <c r="D98" s="391"/>
      <c r="E98" s="457"/>
      <c r="F98" s="457"/>
      <c r="G98" s="457"/>
      <c r="H98" s="457"/>
      <c r="I98" s="457"/>
      <c r="J98" s="457"/>
      <c r="K98" s="457"/>
      <c r="L98" s="457"/>
      <c r="M98" s="457"/>
      <c r="N98" s="457"/>
      <c r="O98" s="457"/>
      <c r="P98" s="457"/>
      <c r="Q98" s="457"/>
      <c r="R98" s="457"/>
      <c r="S98" s="457"/>
      <c r="T98" s="457"/>
      <c r="U98" s="380"/>
    </row>
    <row r="99" spans="2:21" s="6" customFormat="1" ht="15" x14ac:dyDescent="0.3">
      <c r="B99" s="340" t="s">
        <v>888</v>
      </c>
      <c r="C99" s="341" t="s">
        <v>798</v>
      </c>
      <c r="D99" s="391"/>
      <c r="E99" s="457"/>
      <c r="F99" s="457"/>
      <c r="G99" s="457"/>
      <c r="H99" s="457"/>
      <c r="I99" s="457"/>
      <c r="J99" s="457"/>
      <c r="K99" s="457"/>
      <c r="L99" s="457"/>
      <c r="M99" s="457"/>
      <c r="N99" s="457"/>
      <c r="O99" s="457"/>
      <c r="P99" s="457"/>
      <c r="Q99" s="457"/>
      <c r="R99" s="457"/>
      <c r="S99" s="457"/>
      <c r="T99" s="457"/>
      <c r="U99" s="380"/>
    </row>
    <row r="100" spans="2:21" s="11" customFormat="1" ht="15.5" x14ac:dyDescent="0.35">
      <c r="B100" s="402">
        <v>1</v>
      </c>
      <c r="C100" s="384" t="s">
        <v>141</v>
      </c>
      <c r="D100" s="488" t="s">
        <v>800</v>
      </c>
      <c r="E100" s="457">
        <f t="shared" ref="E100:E111" si="33">F100</f>
        <v>44299.468549999998</v>
      </c>
      <c r="F100" s="457">
        <v>44299.468549999998</v>
      </c>
      <c r="G100" s="457">
        <f t="shared" ref="G100:G111" si="34">F100-E100</f>
        <v>0</v>
      </c>
      <c r="H100" s="457">
        <f t="shared" ref="H100:H111" si="35">I100</f>
        <v>44590.58037002074</v>
      </c>
      <c r="I100" s="457">
        <v>44590.58037002074</v>
      </c>
      <c r="J100" s="457">
        <f t="shared" ref="J100:J111" si="36">I100-H100</f>
        <v>0</v>
      </c>
      <c r="K100" s="457"/>
      <c r="L100" s="457">
        <v>48175.099021450296</v>
      </c>
      <c r="M100" s="457"/>
      <c r="N100" s="457"/>
      <c r="O100" s="457">
        <f t="shared" ref="O100:O111" si="37">N100-K100</f>
        <v>0</v>
      </c>
      <c r="P100" s="457"/>
      <c r="Q100" s="457"/>
      <c r="R100" s="457"/>
      <c r="S100" s="457"/>
      <c r="T100" s="457"/>
      <c r="U100" s="489"/>
    </row>
    <row r="101" spans="2:21" s="11" customFormat="1" ht="15.5" x14ac:dyDescent="0.35">
      <c r="B101" s="402">
        <v>2</v>
      </c>
      <c r="C101" s="384" t="s">
        <v>784</v>
      </c>
      <c r="D101" s="488" t="s">
        <v>800</v>
      </c>
      <c r="E101" s="457">
        <f t="shared" si="33"/>
        <v>950</v>
      </c>
      <c r="F101" s="457">
        <v>950</v>
      </c>
      <c r="G101" s="457">
        <f t="shared" si="34"/>
        <v>0</v>
      </c>
      <c r="H101" s="457">
        <f t="shared" si="35"/>
        <v>857.74258447794955</v>
      </c>
      <c r="I101" s="457">
        <v>857.74258447794955</v>
      </c>
      <c r="J101" s="457">
        <f t="shared" si="36"/>
        <v>0</v>
      </c>
      <c r="K101" s="457"/>
      <c r="L101" s="457">
        <v>867.49026099933849</v>
      </c>
      <c r="M101" s="457"/>
      <c r="N101" s="457"/>
      <c r="O101" s="457">
        <f t="shared" si="37"/>
        <v>0</v>
      </c>
      <c r="P101" s="457"/>
      <c r="Q101" s="457"/>
      <c r="R101" s="457"/>
      <c r="S101" s="457"/>
      <c r="T101" s="457"/>
      <c r="U101" s="489"/>
    </row>
    <row r="102" spans="2:21" s="11" customFormat="1" ht="15.5" x14ac:dyDescent="0.35">
      <c r="B102" s="402">
        <v>3</v>
      </c>
      <c r="C102" s="384" t="s">
        <v>228</v>
      </c>
      <c r="D102" s="488" t="s">
        <v>800</v>
      </c>
      <c r="E102" s="457">
        <f t="shared" si="33"/>
        <v>0</v>
      </c>
      <c r="F102" s="457">
        <v>0</v>
      </c>
      <c r="G102" s="457">
        <f t="shared" si="34"/>
        <v>0</v>
      </c>
      <c r="H102" s="457">
        <f t="shared" si="35"/>
        <v>0</v>
      </c>
      <c r="I102" s="457">
        <v>0</v>
      </c>
      <c r="J102" s="457">
        <f t="shared" si="36"/>
        <v>0</v>
      </c>
      <c r="K102" s="457"/>
      <c r="L102" s="457">
        <v>0</v>
      </c>
      <c r="M102" s="457"/>
      <c r="N102" s="457"/>
      <c r="O102" s="457">
        <f t="shared" si="37"/>
        <v>0</v>
      </c>
      <c r="P102" s="457"/>
      <c r="Q102" s="457"/>
      <c r="R102" s="457"/>
      <c r="S102" s="457"/>
      <c r="T102" s="457"/>
      <c r="U102" s="489"/>
    </row>
    <row r="103" spans="2:21" s="11" customFormat="1" ht="15.5" x14ac:dyDescent="0.35">
      <c r="B103" s="402">
        <v>4</v>
      </c>
      <c r="C103" s="384" t="s">
        <v>793</v>
      </c>
      <c r="D103" s="488" t="s">
        <v>800</v>
      </c>
      <c r="E103" s="457">
        <f t="shared" si="33"/>
        <v>0</v>
      </c>
      <c r="F103" s="457">
        <v>0</v>
      </c>
      <c r="G103" s="457">
        <f t="shared" si="34"/>
        <v>0</v>
      </c>
      <c r="H103" s="457">
        <f t="shared" si="35"/>
        <v>83.197652782360592</v>
      </c>
      <c r="I103" s="457">
        <v>83.197652782360592</v>
      </c>
      <c r="J103" s="457">
        <f t="shared" si="36"/>
        <v>0</v>
      </c>
      <c r="K103" s="457"/>
      <c r="L103" s="457">
        <v>0</v>
      </c>
      <c r="M103" s="457"/>
      <c r="N103" s="457"/>
      <c r="O103" s="457">
        <f t="shared" si="37"/>
        <v>0</v>
      </c>
      <c r="P103" s="457"/>
      <c r="Q103" s="457"/>
      <c r="R103" s="457"/>
      <c r="S103" s="457"/>
      <c r="T103" s="457"/>
      <c r="U103" s="489"/>
    </row>
    <row r="104" spans="2:21" s="11" customFormat="1" ht="15.5" x14ac:dyDescent="0.35">
      <c r="B104" s="402">
        <v>5</v>
      </c>
      <c r="C104" s="384" t="s">
        <v>825</v>
      </c>
      <c r="D104" s="488" t="s">
        <v>800</v>
      </c>
      <c r="E104" s="457">
        <f t="shared" si="33"/>
        <v>8300</v>
      </c>
      <c r="F104" s="457">
        <v>8300</v>
      </c>
      <c r="G104" s="457">
        <f t="shared" si="34"/>
        <v>0</v>
      </c>
      <c r="H104" s="457">
        <f t="shared" si="35"/>
        <v>7976.3344428843648</v>
      </c>
      <c r="I104" s="457">
        <v>7976.3344428843648</v>
      </c>
      <c r="J104" s="457">
        <f t="shared" si="36"/>
        <v>0</v>
      </c>
      <c r="K104" s="457"/>
      <c r="L104" s="457">
        <v>8586.4902610279769</v>
      </c>
      <c r="M104" s="457"/>
      <c r="N104" s="457"/>
      <c r="O104" s="457">
        <f t="shared" si="37"/>
        <v>0</v>
      </c>
      <c r="P104" s="457"/>
      <c r="Q104" s="457"/>
      <c r="R104" s="457"/>
      <c r="S104" s="457"/>
      <c r="T104" s="457"/>
      <c r="U104" s="489"/>
    </row>
    <row r="105" spans="2:21" s="11" customFormat="1" ht="15.5" x14ac:dyDescent="0.35">
      <c r="B105" s="402">
        <v>6</v>
      </c>
      <c r="C105" s="384" t="s">
        <v>827</v>
      </c>
      <c r="D105" s="488" t="s">
        <v>800</v>
      </c>
      <c r="E105" s="457">
        <f t="shared" si="33"/>
        <v>0</v>
      </c>
      <c r="F105" s="457">
        <v>0</v>
      </c>
      <c r="G105" s="457">
        <f t="shared" si="34"/>
        <v>0</v>
      </c>
      <c r="H105" s="457">
        <f t="shared" si="35"/>
        <v>0</v>
      </c>
      <c r="I105" s="457">
        <v>0</v>
      </c>
      <c r="J105" s="457">
        <f t="shared" si="36"/>
        <v>0</v>
      </c>
      <c r="K105" s="457"/>
      <c r="L105" s="457">
        <v>0</v>
      </c>
      <c r="M105" s="457"/>
      <c r="N105" s="457"/>
      <c r="O105" s="457">
        <f t="shared" si="37"/>
        <v>0</v>
      </c>
      <c r="P105" s="457"/>
      <c r="Q105" s="457"/>
      <c r="R105" s="457"/>
      <c r="S105" s="457"/>
      <c r="T105" s="457"/>
      <c r="U105" s="489"/>
    </row>
    <row r="106" spans="2:21" s="11" customFormat="1" ht="15.5" x14ac:dyDescent="0.35">
      <c r="B106" s="402">
        <v>7</v>
      </c>
      <c r="C106" s="384" t="s">
        <v>786</v>
      </c>
      <c r="D106" s="488" t="s">
        <v>800</v>
      </c>
      <c r="E106" s="457">
        <f t="shared" si="33"/>
        <v>0</v>
      </c>
      <c r="F106" s="457">
        <v>0</v>
      </c>
      <c r="G106" s="457">
        <f t="shared" si="34"/>
        <v>0</v>
      </c>
      <c r="H106" s="457">
        <f t="shared" si="35"/>
        <v>0</v>
      </c>
      <c r="I106" s="457">
        <v>0</v>
      </c>
      <c r="J106" s="457">
        <f t="shared" si="36"/>
        <v>0</v>
      </c>
      <c r="K106" s="457"/>
      <c r="L106" s="457">
        <v>0</v>
      </c>
      <c r="M106" s="457"/>
      <c r="N106" s="457"/>
      <c r="O106" s="457">
        <f t="shared" si="37"/>
        <v>0</v>
      </c>
      <c r="P106" s="457"/>
      <c r="Q106" s="457"/>
      <c r="R106" s="457"/>
      <c r="S106" s="457"/>
      <c r="T106" s="457"/>
      <c r="U106" s="489"/>
    </row>
    <row r="107" spans="2:21" s="11" customFormat="1" ht="15.5" x14ac:dyDescent="0.35">
      <c r="B107" s="402">
        <v>8</v>
      </c>
      <c r="C107" s="384" t="s">
        <v>787</v>
      </c>
      <c r="D107" s="488" t="s">
        <v>800</v>
      </c>
      <c r="E107" s="457">
        <f t="shared" si="33"/>
        <v>0</v>
      </c>
      <c r="F107" s="457">
        <v>0</v>
      </c>
      <c r="G107" s="457">
        <f t="shared" si="34"/>
        <v>0</v>
      </c>
      <c r="H107" s="457">
        <f t="shared" si="35"/>
        <v>0</v>
      </c>
      <c r="I107" s="457">
        <v>0</v>
      </c>
      <c r="J107" s="457">
        <f t="shared" si="36"/>
        <v>0</v>
      </c>
      <c r="K107" s="457"/>
      <c r="L107" s="457">
        <v>0</v>
      </c>
      <c r="M107" s="457"/>
      <c r="N107" s="457"/>
      <c r="O107" s="457">
        <f t="shared" si="37"/>
        <v>0</v>
      </c>
      <c r="P107" s="457"/>
      <c r="Q107" s="457"/>
      <c r="R107" s="457"/>
      <c r="S107" s="457"/>
      <c r="T107" s="457"/>
      <c r="U107" s="489"/>
    </row>
    <row r="108" spans="2:21" s="11" customFormat="1" ht="15.5" x14ac:dyDescent="0.35">
      <c r="B108" s="402">
        <v>9</v>
      </c>
      <c r="C108" s="384" t="s">
        <v>828</v>
      </c>
      <c r="D108" s="488" t="s">
        <v>800</v>
      </c>
      <c r="E108" s="457">
        <f t="shared" si="33"/>
        <v>0</v>
      </c>
      <c r="F108" s="457">
        <v>0</v>
      </c>
      <c r="G108" s="457">
        <f t="shared" si="34"/>
        <v>0</v>
      </c>
      <c r="H108" s="457">
        <f t="shared" si="35"/>
        <v>-1218.5514801456854</v>
      </c>
      <c r="I108" s="457">
        <v>-1218.5514801456854</v>
      </c>
      <c r="J108" s="457">
        <f t="shared" si="36"/>
        <v>0</v>
      </c>
      <c r="K108" s="457"/>
      <c r="L108" s="457">
        <v>-1339.8656100719847</v>
      </c>
      <c r="M108" s="457"/>
      <c r="N108" s="457"/>
      <c r="O108" s="457">
        <f t="shared" si="37"/>
        <v>0</v>
      </c>
      <c r="P108" s="457"/>
      <c r="Q108" s="457"/>
      <c r="R108" s="457"/>
      <c r="S108" s="457"/>
      <c r="T108" s="457"/>
      <c r="U108" s="489"/>
    </row>
    <row r="109" spans="2:21" s="11" customFormat="1" ht="15.5" x14ac:dyDescent="0.35">
      <c r="B109" s="402">
        <v>10</v>
      </c>
      <c r="C109" s="384" t="s">
        <v>210</v>
      </c>
      <c r="D109" s="488" t="s">
        <v>800</v>
      </c>
      <c r="E109" s="457">
        <f t="shared" si="33"/>
        <v>0</v>
      </c>
      <c r="F109" s="457">
        <v>0</v>
      </c>
      <c r="G109" s="457">
        <f t="shared" si="34"/>
        <v>0</v>
      </c>
      <c r="H109" s="457">
        <f t="shared" si="35"/>
        <v>0</v>
      </c>
      <c r="I109" s="457">
        <v>0</v>
      </c>
      <c r="J109" s="457">
        <f t="shared" si="36"/>
        <v>0</v>
      </c>
      <c r="K109" s="457"/>
      <c r="L109" s="457">
        <v>0</v>
      </c>
      <c r="M109" s="457"/>
      <c r="N109" s="457"/>
      <c r="O109" s="457">
        <f t="shared" si="37"/>
        <v>0</v>
      </c>
      <c r="P109" s="457"/>
      <c r="Q109" s="457"/>
      <c r="R109" s="457"/>
      <c r="S109" s="457"/>
      <c r="T109" s="457"/>
      <c r="U109" s="489"/>
    </row>
    <row r="110" spans="2:21" s="11" customFormat="1" ht="15.5" x14ac:dyDescent="0.35">
      <c r="B110" s="402">
        <v>11</v>
      </c>
      <c r="C110" s="384" t="s">
        <v>789</v>
      </c>
      <c r="D110" s="488" t="s">
        <v>800</v>
      </c>
      <c r="E110" s="457">
        <f t="shared" si="33"/>
        <v>0</v>
      </c>
      <c r="F110" s="457"/>
      <c r="G110" s="457">
        <f t="shared" si="34"/>
        <v>0</v>
      </c>
      <c r="H110" s="457">
        <f t="shared" si="35"/>
        <v>0</v>
      </c>
      <c r="I110" s="457"/>
      <c r="J110" s="457">
        <f t="shared" si="36"/>
        <v>0</v>
      </c>
      <c r="K110" s="457"/>
      <c r="L110" s="457"/>
      <c r="M110" s="681"/>
      <c r="N110" s="457"/>
      <c r="O110" s="457">
        <f t="shared" si="37"/>
        <v>0</v>
      </c>
      <c r="P110" s="457"/>
      <c r="Q110" s="457"/>
      <c r="R110" s="457"/>
      <c r="S110" s="457"/>
      <c r="T110" s="457"/>
      <c r="U110" s="489"/>
    </row>
    <row r="111" spans="2:21" s="11" customFormat="1" ht="15.5" x14ac:dyDescent="0.35">
      <c r="B111" s="402">
        <v>12</v>
      </c>
      <c r="C111" s="384" t="s">
        <v>143</v>
      </c>
      <c r="D111" s="488" t="s">
        <v>800</v>
      </c>
      <c r="E111" s="457">
        <f t="shared" si="33"/>
        <v>0</v>
      </c>
      <c r="F111" s="457"/>
      <c r="G111" s="457">
        <f t="shared" si="34"/>
        <v>0</v>
      </c>
      <c r="H111" s="457">
        <f t="shared" si="35"/>
        <v>0</v>
      </c>
      <c r="I111" s="457"/>
      <c r="J111" s="457">
        <f t="shared" si="36"/>
        <v>0</v>
      </c>
      <c r="K111" s="457"/>
      <c r="L111" s="457"/>
      <c r="M111" s="681"/>
      <c r="N111" s="681"/>
      <c r="O111" s="457">
        <f t="shared" si="37"/>
        <v>0</v>
      </c>
      <c r="P111" s="457"/>
      <c r="Q111" s="457"/>
      <c r="R111" s="457"/>
      <c r="S111" s="457"/>
      <c r="T111" s="457"/>
      <c r="U111" s="489"/>
    </row>
    <row r="112" spans="2:21" s="6" customFormat="1" ht="15" x14ac:dyDescent="0.3">
      <c r="B112" s="340"/>
      <c r="C112" s="341" t="s">
        <v>799</v>
      </c>
      <c r="D112" s="391" t="s">
        <v>800</v>
      </c>
      <c r="E112" s="458">
        <f>SUM(E100:E111)</f>
        <v>53549.468549999998</v>
      </c>
      <c r="F112" s="458">
        <f>SUM(F100:F111)</f>
        <v>53549.468549999998</v>
      </c>
      <c r="G112" s="458">
        <f t="shared" ref="G112:O112" si="38">SUM(G100:G111)</f>
        <v>0</v>
      </c>
      <c r="H112" s="458">
        <f>SUM(H100:H111)</f>
        <v>52289.303570019722</v>
      </c>
      <c r="I112" s="458">
        <f t="shared" si="38"/>
        <v>52289.303570019722</v>
      </c>
      <c r="J112" s="458">
        <f t="shared" si="38"/>
        <v>0</v>
      </c>
      <c r="K112" s="458">
        <f>N112</f>
        <v>55327.637893204512</v>
      </c>
      <c r="L112" s="458">
        <f t="shared" si="38"/>
        <v>56289.213933405626</v>
      </c>
      <c r="M112" s="458">
        <v>52289.303570019722</v>
      </c>
      <c r="N112" s="1100">
        <f>SUMPRODUCT(L112:M112,'F2.2'!O99:P99)/SUM('F2.2'!O99:P99)</f>
        <v>55327.637893204512</v>
      </c>
      <c r="O112" s="458">
        <f t="shared" si="38"/>
        <v>0</v>
      </c>
      <c r="P112" s="458">
        <v>56226.941977499999</v>
      </c>
      <c r="Q112" s="458">
        <v>59038.289076375004</v>
      </c>
      <c r="R112" s="458">
        <v>61990.203530193758</v>
      </c>
      <c r="S112" s="458">
        <v>65089.713706703449</v>
      </c>
      <c r="T112" s="458">
        <v>68344.19939203863</v>
      </c>
      <c r="U112" s="385"/>
    </row>
    <row r="113" spans="2:21" s="6" customFormat="1" ht="15.5" x14ac:dyDescent="0.3">
      <c r="B113" s="342"/>
      <c r="C113" s="341"/>
      <c r="D113" s="391"/>
      <c r="E113" s="457"/>
      <c r="F113" s="457"/>
      <c r="G113" s="457"/>
      <c r="H113" s="457"/>
      <c r="I113" s="457"/>
      <c r="J113" s="457"/>
      <c r="K113" s="457"/>
      <c r="L113" s="457"/>
      <c r="M113" s="457"/>
      <c r="N113" s="457"/>
      <c r="O113" s="457"/>
      <c r="P113" s="457"/>
      <c r="Q113" s="457"/>
      <c r="R113" s="457"/>
      <c r="S113" s="457"/>
      <c r="T113" s="457"/>
      <c r="U113" s="385"/>
    </row>
    <row r="114" spans="2:21" s="404" customFormat="1" ht="15" x14ac:dyDescent="0.3">
      <c r="B114" s="456" t="s">
        <v>894</v>
      </c>
      <c r="C114" s="341" t="s">
        <v>892</v>
      </c>
      <c r="D114" s="446"/>
      <c r="E114" s="457"/>
      <c r="F114" s="457"/>
      <c r="G114" s="457"/>
      <c r="H114" s="457"/>
      <c r="I114" s="457"/>
      <c r="J114" s="457"/>
      <c r="K114" s="457"/>
      <c r="L114" s="457"/>
      <c r="M114" s="457"/>
      <c r="N114" s="457"/>
      <c r="O114" s="457"/>
      <c r="P114" s="457"/>
      <c r="Q114" s="457"/>
      <c r="R114" s="457"/>
      <c r="S114" s="457"/>
      <c r="T114" s="457"/>
      <c r="U114" s="387"/>
    </row>
    <row r="115" spans="2:21" s="404" customFormat="1" ht="15.5" x14ac:dyDescent="0.35">
      <c r="B115" s="456">
        <v>1</v>
      </c>
      <c r="C115" s="384" t="s">
        <v>791</v>
      </c>
      <c r="D115" s="488" t="s">
        <v>800</v>
      </c>
      <c r="E115" s="457">
        <f t="shared" ref="E115:E124" si="39">F115</f>
        <v>0</v>
      </c>
      <c r="F115" s="457">
        <v>0</v>
      </c>
      <c r="G115" s="457">
        <f t="shared" ref="G115:G124" si="40">F115-E115</f>
        <v>0</v>
      </c>
      <c r="H115" s="457">
        <f t="shared" ref="H115:H124" si="41">I115</f>
        <v>0</v>
      </c>
      <c r="I115" s="457">
        <v>0</v>
      </c>
      <c r="J115" s="457">
        <f t="shared" ref="J115:J124" si="42">I115-H115</f>
        <v>0</v>
      </c>
      <c r="K115" s="457">
        <f t="shared" ref="K115:K124" si="43">N115</f>
        <v>0</v>
      </c>
      <c r="L115" s="457">
        <v>0</v>
      </c>
      <c r="M115" s="457"/>
      <c r="N115" s="518">
        <f>IFERROR(SUMPRODUCT(L115:M115,'F2.2'!$O$101:$P$101)/SUM('F2.2'!$O$101:$P$101),0)</f>
        <v>0</v>
      </c>
      <c r="O115" s="457">
        <f t="shared" ref="O115:O124" si="44">N115-K115</f>
        <v>0</v>
      </c>
      <c r="P115" s="457"/>
      <c r="Q115" s="457"/>
      <c r="R115" s="457"/>
      <c r="S115" s="457"/>
      <c r="T115" s="457"/>
      <c r="U115" s="387"/>
    </row>
    <row r="116" spans="2:21" s="404" customFormat="1" ht="15.5" x14ac:dyDescent="0.35">
      <c r="B116" s="456">
        <f>+B115+1</f>
        <v>2</v>
      </c>
      <c r="C116" s="384" t="s">
        <v>792</v>
      </c>
      <c r="D116" s="488" t="s">
        <v>800</v>
      </c>
      <c r="E116" s="457">
        <f t="shared" si="39"/>
        <v>0</v>
      </c>
      <c r="F116" s="457">
        <v>0</v>
      </c>
      <c r="G116" s="457">
        <f t="shared" si="40"/>
        <v>0</v>
      </c>
      <c r="H116" s="457">
        <f t="shared" si="41"/>
        <v>0</v>
      </c>
      <c r="I116" s="457">
        <v>0</v>
      </c>
      <c r="J116" s="457">
        <f t="shared" si="42"/>
        <v>0</v>
      </c>
      <c r="K116" s="457">
        <f>N116</f>
        <v>0</v>
      </c>
      <c r="L116" s="457">
        <v>0</v>
      </c>
      <c r="M116" s="457"/>
      <c r="N116" s="518">
        <f>IFERROR(SUMPRODUCT(L116:M116,'F2.2'!$O$101:$P$101)/SUM('F2.2'!$O$101:$P$101),0)</f>
        <v>0</v>
      </c>
      <c r="O116" s="457">
        <f t="shared" si="44"/>
        <v>0</v>
      </c>
      <c r="P116" s="457"/>
      <c r="Q116" s="457"/>
      <c r="R116" s="457"/>
      <c r="S116" s="457"/>
      <c r="T116" s="457"/>
      <c r="U116" s="387"/>
    </row>
    <row r="117" spans="2:21" s="404" customFormat="1" ht="15.5" x14ac:dyDescent="0.35">
      <c r="B117" s="456">
        <f t="shared" ref="B117:B124" si="45">+B116+1</f>
        <v>3</v>
      </c>
      <c r="C117" s="384" t="s">
        <v>228</v>
      </c>
      <c r="D117" s="488" t="s">
        <v>800</v>
      </c>
      <c r="E117" s="457">
        <f t="shared" si="39"/>
        <v>0</v>
      </c>
      <c r="F117" s="457">
        <v>0</v>
      </c>
      <c r="G117" s="457">
        <f t="shared" si="40"/>
        <v>0</v>
      </c>
      <c r="H117" s="457">
        <f t="shared" si="41"/>
        <v>0</v>
      </c>
      <c r="I117" s="457">
        <v>0</v>
      </c>
      <c r="J117" s="457">
        <f t="shared" si="42"/>
        <v>0</v>
      </c>
      <c r="K117" s="457">
        <f t="shared" si="43"/>
        <v>0</v>
      </c>
      <c r="L117" s="457">
        <v>0</v>
      </c>
      <c r="M117" s="457"/>
      <c r="N117" s="518">
        <f>IFERROR(SUMPRODUCT(L117:M117,'F2.2'!$O$101:$P$101)/SUM('F2.2'!$O$101:$P$101),0)</f>
        <v>0</v>
      </c>
      <c r="O117" s="457">
        <f t="shared" si="44"/>
        <v>0</v>
      </c>
      <c r="P117" s="457"/>
      <c r="Q117" s="457"/>
      <c r="R117" s="457"/>
      <c r="S117" s="457"/>
      <c r="T117" s="457"/>
      <c r="U117" s="387"/>
    </row>
    <row r="118" spans="2:21" s="404" customFormat="1" ht="15.5" x14ac:dyDescent="0.35">
      <c r="B118" s="456">
        <f t="shared" si="45"/>
        <v>4</v>
      </c>
      <c r="C118" s="384" t="s">
        <v>793</v>
      </c>
      <c r="D118" s="488" t="s">
        <v>800</v>
      </c>
      <c r="E118" s="457">
        <f t="shared" si="39"/>
        <v>0</v>
      </c>
      <c r="F118" s="457">
        <v>0</v>
      </c>
      <c r="G118" s="457">
        <f t="shared" si="40"/>
        <v>0</v>
      </c>
      <c r="H118" s="457">
        <f t="shared" si="41"/>
        <v>0</v>
      </c>
      <c r="I118" s="457">
        <v>0</v>
      </c>
      <c r="J118" s="457">
        <f t="shared" si="42"/>
        <v>0</v>
      </c>
      <c r="K118" s="457">
        <f t="shared" si="43"/>
        <v>0</v>
      </c>
      <c r="L118" s="457">
        <v>0</v>
      </c>
      <c r="M118" s="457"/>
      <c r="N118" s="518">
        <f>IFERROR(SUMPRODUCT(L118:M118,'F2.2'!$O$101:$P$101)/SUM('F2.2'!$O$101:$P$101),0)</f>
        <v>0</v>
      </c>
      <c r="O118" s="457">
        <f t="shared" si="44"/>
        <v>0</v>
      </c>
      <c r="P118" s="457"/>
      <c r="Q118" s="457"/>
      <c r="R118" s="457"/>
      <c r="S118" s="457"/>
      <c r="T118" s="457"/>
      <c r="U118" s="387"/>
    </row>
    <row r="119" spans="2:21" s="404" customFormat="1" ht="15.5" x14ac:dyDescent="0.35">
      <c r="B119" s="456">
        <f t="shared" si="45"/>
        <v>5</v>
      </c>
      <c r="C119" s="384" t="s">
        <v>794</v>
      </c>
      <c r="D119" s="488" t="s">
        <v>800</v>
      </c>
      <c r="E119" s="457">
        <f t="shared" si="39"/>
        <v>0</v>
      </c>
      <c r="F119" s="457">
        <v>0</v>
      </c>
      <c r="G119" s="457">
        <f t="shared" si="40"/>
        <v>0</v>
      </c>
      <c r="H119" s="457">
        <f t="shared" si="41"/>
        <v>0</v>
      </c>
      <c r="I119" s="457">
        <v>0</v>
      </c>
      <c r="J119" s="457">
        <f t="shared" si="42"/>
        <v>0</v>
      </c>
      <c r="K119" s="457">
        <f t="shared" si="43"/>
        <v>0</v>
      </c>
      <c r="L119" s="457">
        <v>0</v>
      </c>
      <c r="M119" s="457"/>
      <c r="N119" s="518">
        <f>IFERROR(SUMPRODUCT(L119:M119,'F2.2'!$O$101:$P$101)/SUM('F2.2'!$O$101:$P$101),0)</f>
        <v>0</v>
      </c>
      <c r="O119" s="457">
        <f t="shared" si="44"/>
        <v>0</v>
      </c>
      <c r="P119" s="457"/>
      <c r="Q119" s="457"/>
      <c r="R119" s="457"/>
      <c r="S119" s="457"/>
      <c r="T119" s="457"/>
      <c r="U119" s="387"/>
    </row>
    <row r="120" spans="2:21" s="404" customFormat="1" ht="15.5" x14ac:dyDescent="0.35">
      <c r="B120" s="456">
        <f t="shared" si="45"/>
        <v>6</v>
      </c>
      <c r="C120" s="384" t="s">
        <v>785</v>
      </c>
      <c r="D120" s="488" t="s">
        <v>800</v>
      </c>
      <c r="E120" s="457">
        <f t="shared" si="39"/>
        <v>0</v>
      </c>
      <c r="F120" s="457">
        <v>0</v>
      </c>
      <c r="G120" s="457">
        <f t="shared" si="40"/>
        <v>0</v>
      </c>
      <c r="H120" s="457">
        <f t="shared" si="41"/>
        <v>0</v>
      </c>
      <c r="I120" s="457">
        <v>0</v>
      </c>
      <c r="J120" s="457">
        <f t="shared" si="42"/>
        <v>0</v>
      </c>
      <c r="K120" s="457">
        <f t="shared" si="43"/>
        <v>0</v>
      </c>
      <c r="L120" s="457">
        <v>0</v>
      </c>
      <c r="M120" s="457"/>
      <c r="N120" s="518">
        <f>IFERROR(SUMPRODUCT(L120:M120,'F2.2'!$O$101:$P$101)/SUM('F2.2'!$O$101:$P$101),0)</f>
        <v>0</v>
      </c>
      <c r="O120" s="457">
        <f t="shared" si="44"/>
        <v>0</v>
      </c>
      <c r="P120" s="457"/>
      <c r="Q120" s="457"/>
      <c r="R120" s="457"/>
      <c r="S120" s="457"/>
      <c r="T120" s="457"/>
      <c r="U120" s="387"/>
    </row>
    <row r="121" spans="2:21" s="404" customFormat="1" ht="15.5" x14ac:dyDescent="0.35">
      <c r="B121" s="456">
        <f t="shared" si="45"/>
        <v>7</v>
      </c>
      <c r="C121" s="384" t="s">
        <v>786</v>
      </c>
      <c r="D121" s="488" t="s">
        <v>800</v>
      </c>
      <c r="E121" s="457">
        <f t="shared" si="39"/>
        <v>0</v>
      </c>
      <c r="F121" s="457">
        <v>0</v>
      </c>
      <c r="G121" s="457">
        <f t="shared" si="40"/>
        <v>0</v>
      </c>
      <c r="H121" s="457">
        <f t="shared" si="41"/>
        <v>0</v>
      </c>
      <c r="I121" s="457">
        <v>0</v>
      </c>
      <c r="J121" s="457">
        <f t="shared" si="42"/>
        <v>0</v>
      </c>
      <c r="K121" s="457">
        <f t="shared" si="43"/>
        <v>0</v>
      </c>
      <c r="L121" s="457">
        <v>0</v>
      </c>
      <c r="M121" s="457"/>
      <c r="N121" s="518">
        <f>IFERROR(SUMPRODUCT(L121:M121,'F2.2'!$O$101:$P$101)/SUM('F2.2'!$O$101:$P$101),0)</f>
        <v>0</v>
      </c>
      <c r="O121" s="457">
        <f t="shared" si="44"/>
        <v>0</v>
      </c>
      <c r="P121" s="457"/>
      <c r="Q121" s="457"/>
      <c r="R121" s="457"/>
      <c r="S121" s="457"/>
      <c r="T121" s="457"/>
      <c r="U121" s="387"/>
    </row>
    <row r="122" spans="2:21" s="404" customFormat="1" ht="15.5" x14ac:dyDescent="0.35">
      <c r="B122" s="456">
        <f t="shared" si="45"/>
        <v>8</v>
      </c>
      <c r="C122" s="384" t="s">
        <v>787</v>
      </c>
      <c r="D122" s="488" t="s">
        <v>800</v>
      </c>
      <c r="E122" s="457">
        <f t="shared" si="39"/>
        <v>0</v>
      </c>
      <c r="F122" s="457">
        <v>0</v>
      </c>
      <c r="G122" s="457">
        <f t="shared" si="40"/>
        <v>0</v>
      </c>
      <c r="H122" s="457">
        <f t="shared" si="41"/>
        <v>0</v>
      </c>
      <c r="I122" s="457">
        <v>0</v>
      </c>
      <c r="J122" s="457">
        <f t="shared" si="42"/>
        <v>0</v>
      </c>
      <c r="K122" s="457">
        <f t="shared" si="43"/>
        <v>0</v>
      </c>
      <c r="L122" s="457">
        <v>0</v>
      </c>
      <c r="M122" s="457"/>
      <c r="N122" s="518">
        <f>IFERROR(SUMPRODUCT(L122:M122,'F2.2'!$O$101:$P$101)/SUM('F2.2'!$O$101:$P$101),0)</f>
        <v>0</v>
      </c>
      <c r="O122" s="457">
        <f t="shared" si="44"/>
        <v>0</v>
      </c>
      <c r="P122" s="457"/>
      <c r="Q122" s="457"/>
      <c r="R122" s="457"/>
      <c r="S122" s="457"/>
      <c r="T122" s="457"/>
      <c r="U122" s="387"/>
    </row>
    <row r="123" spans="2:21" s="404" customFormat="1" ht="15.5" x14ac:dyDescent="0.35">
      <c r="B123" s="456">
        <f t="shared" si="45"/>
        <v>9</v>
      </c>
      <c r="C123" s="384" t="s">
        <v>210</v>
      </c>
      <c r="D123" s="488" t="s">
        <v>800</v>
      </c>
      <c r="E123" s="457">
        <f t="shared" si="39"/>
        <v>0</v>
      </c>
      <c r="F123" s="457">
        <v>0</v>
      </c>
      <c r="G123" s="457">
        <f t="shared" si="40"/>
        <v>0</v>
      </c>
      <c r="H123" s="457">
        <f t="shared" si="41"/>
        <v>0</v>
      </c>
      <c r="I123" s="457">
        <v>0</v>
      </c>
      <c r="J123" s="457">
        <f t="shared" si="42"/>
        <v>0</v>
      </c>
      <c r="K123" s="457">
        <f t="shared" si="43"/>
        <v>0</v>
      </c>
      <c r="L123" s="457">
        <v>0</v>
      </c>
      <c r="M123" s="457"/>
      <c r="N123" s="518">
        <f>IFERROR(SUMPRODUCT(L123:M123,'F2.2'!$O$101:$P$101)/SUM('F2.2'!$O$101:$P$101),0)</f>
        <v>0</v>
      </c>
      <c r="O123" s="457">
        <f t="shared" si="44"/>
        <v>0</v>
      </c>
      <c r="P123" s="457"/>
      <c r="Q123" s="457"/>
      <c r="R123" s="457"/>
      <c r="S123" s="457"/>
      <c r="T123" s="457"/>
      <c r="U123" s="387"/>
    </row>
    <row r="124" spans="2:21" s="404" customFormat="1" ht="15.5" x14ac:dyDescent="0.35">
      <c r="B124" s="456">
        <f t="shared" si="45"/>
        <v>10</v>
      </c>
      <c r="C124" s="384" t="s">
        <v>210</v>
      </c>
      <c r="D124" s="488" t="s">
        <v>800</v>
      </c>
      <c r="E124" s="457">
        <f t="shared" si="39"/>
        <v>0</v>
      </c>
      <c r="F124" s="457">
        <v>0</v>
      </c>
      <c r="G124" s="457">
        <f t="shared" si="40"/>
        <v>0</v>
      </c>
      <c r="H124" s="457">
        <f t="shared" si="41"/>
        <v>0</v>
      </c>
      <c r="I124" s="457">
        <v>0</v>
      </c>
      <c r="J124" s="457">
        <f t="shared" si="42"/>
        <v>0</v>
      </c>
      <c r="K124" s="457">
        <f t="shared" si="43"/>
        <v>0</v>
      </c>
      <c r="L124" s="457">
        <v>0</v>
      </c>
      <c r="M124" s="457"/>
      <c r="N124" s="518">
        <f>IFERROR(SUMPRODUCT(L124:M124,'F2.2'!$O$101:$P$101)/SUM('F2.2'!$O$101:$P$101),0)</f>
        <v>0</v>
      </c>
      <c r="O124" s="457">
        <f t="shared" si="44"/>
        <v>0</v>
      </c>
      <c r="P124" s="457"/>
      <c r="Q124" s="457"/>
      <c r="R124" s="457"/>
      <c r="S124" s="457"/>
      <c r="T124" s="457"/>
      <c r="U124" s="387"/>
    </row>
    <row r="125" spans="2:21" s="404" customFormat="1" ht="15" x14ac:dyDescent="0.3">
      <c r="B125" s="456"/>
      <c r="C125" s="341" t="s">
        <v>893</v>
      </c>
      <c r="D125" s="446" t="s">
        <v>800</v>
      </c>
      <c r="E125" s="458">
        <f>SUM(E115:E124)</f>
        <v>0</v>
      </c>
      <c r="F125" s="458">
        <f>SUM(F115:F124)</f>
        <v>0</v>
      </c>
      <c r="G125" s="458">
        <f t="shared" ref="G125:O125" si="46">SUM(G115:G124)</f>
        <v>0</v>
      </c>
      <c r="H125" s="458">
        <f>SUM(H115:H124)</f>
        <v>0</v>
      </c>
      <c r="I125" s="458">
        <f>SUM(I115:I124)</f>
        <v>0</v>
      </c>
      <c r="J125" s="458">
        <f t="shared" si="46"/>
        <v>0</v>
      </c>
      <c r="K125" s="458">
        <f t="shared" si="46"/>
        <v>0</v>
      </c>
      <c r="L125" s="458">
        <f t="shared" si="46"/>
        <v>0</v>
      </c>
      <c r="M125" s="458">
        <v>0</v>
      </c>
      <c r="N125" s="499">
        <f t="shared" si="46"/>
        <v>0</v>
      </c>
      <c r="O125" s="458">
        <f t="shared" si="46"/>
        <v>0</v>
      </c>
      <c r="P125" s="458">
        <v>0</v>
      </c>
      <c r="Q125" s="458">
        <v>0</v>
      </c>
      <c r="R125" s="458">
        <v>0</v>
      </c>
      <c r="S125" s="458">
        <v>0</v>
      </c>
      <c r="T125" s="458">
        <v>0</v>
      </c>
      <c r="U125" s="387"/>
    </row>
    <row r="126" spans="2:21" s="404" customFormat="1" ht="15" x14ac:dyDescent="0.3">
      <c r="B126" s="456"/>
      <c r="C126" s="341"/>
      <c r="D126" s="446"/>
      <c r="E126" s="457"/>
      <c r="F126" s="457"/>
      <c r="G126" s="457"/>
      <c r="H126" s="457"/>
      <c r="I126" s="457"/>
      <c r="J126" s="457"/>
      <c r="K126" s="457"/>
      <c r="L126" s="457"/>
      <c r="M126" s="457"/>
      <c r="N126" s="457"/>
      <c r="O126" s="457"/>
      <c r="P126" s="457"/>
      <c r="Q126" s="457"/>
      <c r="R126" s="457"/>
      <c r="S126" s="457"/>
      <c r="T126" s="457"/>
      <c r="U126" s="387"/>
    </row>
    <row r="127" spans="2:21" s="404" customFormat="1" ht="15" x14ac:dyDescent="0.3">
      <c r="B127" s="456" t="s">
        <v>895</v>
      </c>
      <c r="C127" s="341" t="s">
        <v>889</v>
      </c>
      <c r="D127" s="446"/>
      <c r="E127" s="457"/>
      <c r="F127" s="457"/>
      <c r="G127" s="457"/>
      <c r="H127" s="457"/>
      <c r="I127" s="457"/>
      <c r="J127" s="457"/>
      <c r="K127" s="457"/>
      <c r="L127" s="457"/>
      <c r="M127" s="457"/>
      <c r="N127" s="457"/>
      <c r="O127" s="457"/>
      <c r="P127" s="457"/>
      <c r="Q127" s="457"/>
      <c r="R127" s="457"/>
      <c r="S127" s="457"/>
      <c r="T127" s="457"/>
      <c r="U127" s="387"/>
    </row>
    <row r="128" spans="2:21" s="404" customFormat="1" ht="15" x14ac:dyDescent="0.3">
      <c r="B128" s="456">
        <v>1</v>
      </c>
      <c r="C128" s="341" t="s">
        <v>791</v>
      </c>
      <c r="D128" s="446" t="s">
        <v>800</v>
      </c>
      <c r="E128" s="457">
        <f t="shared" ref="E128:E137" si="47">F128</f>
        <v>0</v>
      </c>
      <c r="F128" s="457">
        <v>0</v>
      </c>
      <c r="G128" s="457">
        <f t="shared" ref="G128:G137" si="48">F128-E128</f>
        <v>0</v>
      </c>
      <c r="H128" s="457">
        <f t="shared" ref="H128:H137" si="49">I128</f>
        <v>0</v>
      </c>
      <c r="I128" s="457">
        <v>0</v>
      </c>
      <c r="J128" s="457">
        <f t="shared" ref="J128:J137" si="50">I128-H128</f>
        <v>0</v>
      </c>
      <c r="K128" s="457">
        <f>N128</f>
        <v>0</v>
      </c>
      <c r="L128" s="457">
        <v>0</v>
      </c>
      <c r="M128" s="457"/>
      <c r="N128" s="518">
        <f>IFERROR(SUMPRODUCT(L128:M128,'F2.2'!$O$102:$P$102)/SUM('F2.2'!$O$102:$P$102),0)</f>
        <v>0</v>
      </c>
      <c r="O128" s="457">
        <f t="shared" ref="O128:O137" si="51">N128-K128</f>
        <v>0</v>
      </c>
      <c r="P128" s="457"/>
      <c r="Q128" s="457"/>
      <c r="R128" s="457"/>
      <c r="S128" s="457"/>
      <c r="T128" s="457"/>
      <c r="U128" s="387"/>
    </row>
    <row r="129" spans="2:21" s="404" customFormat="1" ht="15" x14ac:dyDescent="0.3">
      <c r="B129" s="456">
        <f>1+B128</f>
        <v>2</v>
      </c>
      <c r="C129" s="341" t="s">
        <v>792</v>
      </c>
      <c r="D129" s="446" t="s">
        <v>800</v>
      </c>
      <c r="E129" s="457">
        <f t="shared" si="47"/>
        <v>0</v>
      </c>
      <c r="F129" s="457">
        <v>0</v>
      </c>
      <c r="G129" s="457">
        <f t="shared" si="48"/>
        <v>0</v>
      </c>
      <c r="H129" s="457">
        <f t="shared" si="49"/>
        <v>0</v>
      </c>
      <c r="I129" s="457">
        <v>0</v>
      </c>
      <c r="J129" s="457">
        <f t="shared" si="50"/>
        <v>0</v>
      </c>
      <c r="K129" s="457">
        <f t="shared" ref="K129:K137" si="52">N129</f>
        <v>0</v>
      </c>
      <c r="L129" s="457">
        <v>0</v>
      </c>
      <c r="M129" s="457"/>
      <c r="N129" s="518">
        <f>IFERROR(SUMPRODUCT(L129:M129,'F2.2'!$O$102:$P$102)/SUM('F2.2'!$O$102:$P$102),0)</f>
        <v>0</v>
      </c>
      <c r="O129" s="457">
        <f t="shared" si="51"/>
        <v>0</v>
      </c>
      <c r="P129" s="457"/>
      <c r="Q129" s="457"/>
      <c r="R129" s="457"/>
      <c r="S129" s="457"/>
      <c r="T129" s="457"/>
      <c r="U129" s="387"/>
    </row>
    <row r="130" spans="2:21" s="404" customFormat="1" ht="15" x14ac:dyDescent="0.3">
      <c r="B130" s="456">
        <f t="shared" ref="B130:B137" si="53">1+B129</f>
        <v>3</v>
      </c>
      <c r="C130" s="341" t="s">
        <v>228</v>
      </c>
      <c r="D130" s="446" t="s">
        <v>800</v>
      </c>
      <c r="E130" s="457">
        <f t="shared" si="47"/>
        <v>0</v>
      </c>
      <c r="F130" s="457">
        <v>0</v>
      </c>
      <c r="G130" s="457">
        <f t="shared" si="48"/>
        <v>0</v>
      </c>
      <c r="H130" s="457">
        <f t="shared" si="49"/>
        <v>0</v>
      </c>
      <c r="I130" s="457">
        <v>0</v>
      </c>
      <c r="J130" s="457">
        <f t="shared" si="50"/>
        <v>0</v>
      </c>
      <c r="K130" s="457">
        <f t="shared" si="52"/>
        <v>0</v>
      </c>
      <c r="L130" s="457">
        <v>0</v>
      </c>
      <c r="M130" s="457"/>
      <c r="N130" s="518">
        <f>IFERROR(SUMPRODUCT(L130:M130,'F2.2'!$O$102:$P$102)/SUM('F2.2'!$O$102:$P$102),0)</f>
        <v>0</v>
      </c>
      <c r="O130" s="457">
        <f t="shared" si="51"/>
        <v>0</v>
      </c>
      <c r="P130" s="457"/>
      <c r="Q130" s="457"/>
      <c r="R130" s="457"/>
      <c r="S130" s="457"/>
      <c r="T130" s="457"/>
      <c r="U130" s="387"/>
    </row>
    <row r="131" spans="2:21" s="404" customFormat="1" ht="15" x14ac:dyDescent="0.3">
      <c r="B131" s="456">
        <f t="shared" si="53"/>
        <v>4</v>
      </c>
      <c r="C131" s="341" t="s">
        <v>793</v>
      </c>
      <c r="D131" s="446" t="s">
        <v>800</v>
      </c>
      <c r="E131" s="457">
        <f t="shared" si="47"/>
        <v>0</v>
      </c>
      <c r="F131" s="457">
        <v>0</v>
      </c>
      <c r="G131" s="457">
        <f t="shared" si="48"/>
        <v>0</v>
      </c>
      <c r="H131" s="457">
        <f t="shared" si="49"/>
        <v>0</v>
      </c>
      <c r="I131" s="457">
        <v>0</v>
      </c>
      <c r="J131" s="457">
        <f t="shared" si="50"/>
        <v>0</v>
      </c>
      <c r="K131" s="457">
        <f t="shared" si="52"/>
        <v>0</v>
      </c>
      <c r="L131" s="457">
        <v>0</v>
      </c>
      <c r="M131" s="457"/>
      <c r="N131" s="518">
        <f>IFERROR(SUMPRODUCT(L131:M131,'F2.2'!$O$102:$P$102)/SUM('F2.2'!$O$102:$P$102),0)</f>
        <v>0</v>
      </c>
      <c r="O131" s="457">
        <f t="shared" si="51"/>
        <v>0</v>
      </c>
      <c r="P131" s="457"/>
      <c r="Q131" s="457"/>
      <c r="R131" s="457"/>
      <c r="S131" s="457"/>
      <c r="T131" s="457"/>
      <c r="U131" s="387"/>
    </row>
    <row r="132" spans="2:21" s="404" customFormat="1" ht="15" x14ac:dyDescent="0.3">
      <c r="B132" s="456">
        <f t="shared" si="53"/>
        <v>5</v>
      </c>
      <c r="C132" s="341" t="s">
        <v>825</v>
      </c>
      <c r="D132" s="446" t="s">
        <v>800</v>
      </c>
      <c r="E132" s="457">
        <f t="shared" si="47"/>
        <v>0</v>
      </c>
      <c r="F132" s="457">
        <v>0</v>
      </c>
      <c r="G132" s="457">
        <f t="shared" si="48"/>
        <v>0</v>
      </c>
      <c r="H132" s="457">
        <f t="shared" si="49"/>
        <v>0</v>
      </c>
      <c r="I132" s="457">
        <v>0</v>
      </c>
      <c r="J132" s="457">
        <f t="shared" si="50"/>
        <v>0</v>
      </c>
      <c r="K132" s="457">
        <f t="shared" si="52"/>
        <v>0</v>
      </c>
      <c r="L132" s="457">
        <v>0</v>
      </c>
      <c r="M132" s="457"/>
      <c r="N132" s="518">
        <f>IFERROR(SUMPRODUCT(L132:M132,'F2.2'!$O$102:$P$102)/SUM('F2.2'!$O$102:$P$102),0)</f>
        <v>0</v>
      </c>
      <c r="O132" s="457">
        <f t="shared" si="51"/>
        <v>0</v>
      </c>
      <c r="P132" s="457"/>
      <c r="Q132" s="457"/>
      <c r="R132" s="457"/>
      <c r="S132" s="457"/>
      <c r="T132" s="457"/>
      <c r="U132" s="387"/>
    </row>
    <row r="133" spans="2:21" s="404" customFormat="1" ht="15" x14ac:dyDescent="0.3">
      <c r="B133" s="456">
        <f t="shared" si="53"/>
        <v>6</v>
      </c>
      <c r="C133" s="341" t="s">
        <v>785</v>
      </c>
      <c r="D133" s="446" t="s">
        <v>800</v>
      </c>
      <c r="E133" s="457">
        <f t="shared" si="47"/>
        <v>0</v>
      </c>
      <c r="F133" s="457">
        <v>0</v>
      </c>
      <c r="G133" s="457">
        <f t="shared" si="48"/>
        <v>0</v>
      </c>
      <c r="H133" s="457">
        <f t="shared" si="49"/>
        <v>0</v>
      </c>
      <c r="I133" s="457">
        <v>0</v>
      </c>
      <c r="J133" s="457">
        <f t="shared" si="50"/>
        <v>0</v>
      </c>
      <c r="K133" s="457">
        <f t="shared" si="52"/>
        <v>0</v>
      </c>
      <c r="L133" s="457">
        <v>0</v>
      </c>
      <c r="M133" s="457"/>
      <c r="N133" s="518">
        <f>IFERROR(SUMPRODUCT(L133:M133,'F2.2'!$O$102:$P$102)/SUM('F2.2'!$O$102:$P$102),0)</f>
        <v>0</v>
      </c>
      <c r="O133" s="457">
        <f t="shared" si="51"/>
        <v>0</v>
      </c>
      <c r="P133" s="457"/>
      <c r="Q133" s="457"/>
      <c r="R133" s="457"/>
      <c r="S133" s="457"/>
      <c r="T133" s="457"/>
      <c r="U133" s="387"/>
    </row>
    <row r="134" spans="2:21" s="404" customFormat="1" ht="15" x14ac:dyDescent="0.3">
      <c r="B134" s="456">
        <f t="shared" si="53"/>
        <v>7</v>
      </c>
      <c r="C134" s="341" t="s">
        <v>786</v>
      </c>
      <c r="D134" s="446" t="s">
        <v>800</v>
      </c>
      <c r="E134" s="457">
        <f t="shared" si="47"/>
        <v>0</v>
      </c>
      <c r="F134" s="457">
        <v>0</v>
      </c>
      <c r="G134" s="457">
        <f t="shared" si="48"/>
        <v>0</v>
      </c>
      <c r="H134" s="457">
        <f t="shared" si="49"/>
        <v>0</v>
      </c>
      <c r="I134" s="457">
        <v>0</v>
      </c>
      <c r="J134" s="457">
        <f t="shared" si="50"/>
        <v>0</v>
      </c>
      <c r="K134" s="457">
        <f t="shared" si="52"/>
        <v>0</v>
      </c>
      <c r="L134" s="457">
        <v>0</v>
      </c>
      <c r="M134" s="457"/>
      <c r="N134" s="518">
        <f>IFERROR(SUMPRODUCT(L134:M134,'F2.2'!$O$102:$P$102)/SUM('F2.2'!$O$102:$P$102),0)</f>
        <v>0</v>
      </c>
      <c r="O134" s="457">
        <f t="shared" si="51"/>
        <v>0</v>
      </c>
      <c r="P134" s="457"/>
      <c r="Q134" s="457"/>
      <c r="R134" s="457"/>
      <c r="S134" s="457"/>
      <c r="T134" s="457"/>
      <c r="U134" s="387"/>
    </row>
    <row r="135" spans="2:21" s="404" customFormat="1" ht="15" x14ac:dyDescent="0.3">
      <c r="B135" s="456">
        <f t="shared" si="53"/>
        <v>8</v>
      </c>
      <c r="C135" s="341" t="s">
        <v>787</v>
      </c>
      <c r="D135" s="446" t="s">
        <v>800</v>
      </c>
      <c r="E135" s="457">
        <f t="shared" si="47"/>
        <v>0</v>
      </c>
      <c r="F135" s="457">
        <v>0</v>
      </c>
      <c r="G135" s="457">
        <f t="shared" si="48"/>
        <v>0</v>
      </c>
      <c r="H135" s="457">
        <f t="shared" si="49"/>
        <v>0</v>
      </c>
      <c r="I135" s="457">
        <v>0</v>
      </c>
      <c r="J135" s="457">
        <f t="shared" si="50"/>
        <v>0</v>
      </c>
      <c r="K135" s="457">
        <f t="shared" si="52"/>
        <v>0</v>
      </c>
      <c r="L135" s="457">
        <v>0</v>
      </c>
      <c r="M135" s="457"/>
      <c r="N135" s="518">
        <f>IFERROR(SUMPRODUCT(L135:M135,'F2.2'!$O$102:$P$102)/SUM('F2.2'!$O$102:$P$102),0)</f>
        <v>0</v>
      </c>
      <c r="O135" s="457">
        <f t="shared" si="51"/>
        <v>0</v>
      </c>
      <c r="P135" s="457"/>
      <c r="Q135" s="457"/>
      <c r="R135" s="457"/>
      <c r="S135" s="457"/>
      <c r="T135" s="457"/>
      <c r="U135" s="387"/>
    </row>
    <row r="136" spans="2:21" s="404" customFormat="1" ht="15" x14ac:dyDescent="0.3">
      <c r="B136" s="456">
        <f t="shared" si="53"/>
        <v>9</v>
      </c>
      <c r="C136" s="341" t="s">
        <v>890</v>
      </c>
      <c r="D136" s="446" t="s">
        <v>800</v>
      </c>
      <c r="E136" s="457">
        <f t="shared" si="47"/>
        <v>0</v>
      </c>
      <c r="F136" s="457">
        <v>0</v>
      </c>
      <c r="G136" s="457">
        <f t="shared" si="48"/>
        <v>0</v>
      </c>
      <c r="H136" s="457">
        <f t="shared" si="49"/>
        <v>0</v>
      </c>
      <c r="I136" s="457">
        <v>0</v>
      </c>
      <c r="J136" s="457">
        <f t="shared" si="50"/>
        <v>0</v>
      </c>
      <c r="K136" s="457">
        <f t="shared" si="52"/>
        <v>0</v>
      </c>
      <c r="L136" s="457">
        <v>0</v>
      </c>
      <c r="M136" s="457"/>
      <c r="N136" s="518">
        <f>IFERROR(SUMPRODUCT(L136:M136,'F2.2'!$O$102:$P$102)/SUM('F2.2'!$O$102:$P$102),0)</f>
        <v>0</v>
      </c>
      <c r="O136" s="457">
        <f t="shared" si="51"/>
        <v>0</v>
      </c>
      <c r="P136" s="457"/>
      <c r="Q136" s="457"/>
      <c r="R136" s="457"/>
      <c r="S136" s="457"/>
      <c r="T136" s="457"/>
      <c r="U136" s="387"/>
    </row>
    <row r="137" spans="2:21" s="404" customFormat="1" ht="15" x14ac:dyDescent="0.3">
      <c r="B137" s="456">
        <f t="shared" si="53"/>
        <v>10</v>
      </c>
      <c r="C137" s="341" t="s">
        <v>210</v>
      </c>
      <c r="D137" s="446" t="s">
        <v>800</v>
      </c>
      <c r="E137" s="457">
        <f t="shared" si="47"/>
        <v>0</v>
      </c>
      <c r="F137" s="457">
        <v>0</v>
      </c>
      <c r="G137" s="457">
        <f t="shared" si="48"/>
        <v>0</v>
      </c>
      <c r="H137" s="457">
        <f t="shared" si="49"/>
        <v>0</v>
      </c>
      <c r="I137" s="457">
        <v>0</v>
      </c>
      <c r="J137" s="457">
        <f t="shared" si="50"/>
        <v>0</v>
      </c>
      <c r="K137" s="457">
        <f t="shared" si="52"/>
        <v>0</v>
      </c>
      <c r="L137" s="457">
        <v>0</v>
      </c>
      <c r="M137" s="457"/>
      <c r="N137" s="518">
        <f>IFERROR(SUMPRODUCT(L137:M137,'F2.2'!$O$102:$P$102)/SUM('F2.2'!$O$102:$P$102),0)</f>
        <v>0</v>
      </c>
      <c r="O137" s="457">
        <f t="shared" si="51"/>
        <v>0</v>
      </c>
      <c r="P137" s="457"/>
      <c r="Q137" s="457"/>
      <c r="R137" s="457"/>
      <c r="S137" s="457"/>
      <c r="T137" s="457"/>
      <c r="U137" s="387"/>
    </row>
    <row r="138" spans="2:21" s="404" customFormat="1" ht="15" x14ac:dyDescent="0.3">
      <c r="B138" s="456"/>
      <c r="C138" s="341" t="s">
        <v>891</v>
      </c>
      <c r="D138" s="446" t="s">
        <v>800</v>
      </c>
      <c r="E138" s="457">
        <f>SUM(E128:E137)</f>
        <v>0</v>
      </c>
      <c r="F138" s="457">
        <f>SUM(F128:F137)</f>
        <v>0</v>
      </c>
      <c r="G138" s="457">
        <f t="shared" ref="G138" si="54">SUM(G128:G137)</f>
        <v>0</v>
      </c>
      <c r="H138" s="457">
        <f>SUM(H128:H137)</f>
        <v>0</v>
      </c>
      <c r="I138" s="457">
        <f>SUM(I128:I137)</f>
        <v>0</v>
      </c>
      <c r="J138" s="457">
        <f t="shared" ref="J138" si="55">SUM(J128:J137)</f>
        <v>0</v>
      </c>
      <c r="K138" s="457">
        <f t="shared" ref="K138:L138" si="56">SUM(K128:K137)</f>
        <v>0</v>
      </c>
      <c r="L138" s="457">
        <f t="shared" si="56"/>
        <v>0</v>
      </c>
      <c r="M138" s="457">
        <v>0</v>
      </c>
      <c r="N138" s="457">
        <f t="shared" ref="N138" si="57">SUM(N128:N137)</f>
        <v>0</v>
      </c>
      <c r="O138" s="457">
        <f t="shared" ref="O138" si="58">SUM(O128:O137)</f>
        <v>0</v>
      </c>
      <c r="P138" s="457">
        <v>0</v>
      </c>
      <c r="Q138" s="457">
        <v>0</v>
      </c>
      <c r="R138" s="457">
        <v>0</v>
      </c>
      <c r="S138" s="457">
        <v>0</v>
      </c>
      <c r="T138" s="457">
        <v>0</v>
      </c>
      <c r="U138" s="387"/>
    </row>
    <row r="139" spans="2:21" s="1" customFormat="1" ht="15.5" x14ac:dyDescent="0.35">
      <c r="B139" s="392"/>
      <c r="C139" s="393"/>
      <c r="D139" s="393"/>
      <c r="E139" s="489"/>
      <c r="F139" s="489"/>
      <c r="G139" s="489"/>
      <c r="H139" s="489"/>
      <c r="I139" s="489"/>
      <c r="J139" s="489"/>
      <c r="K139" s="694"/>
      <c r="L139" s="694"/>
      <c r="M139" s="694"/>
      <c r="N139" s="388"/>
      <c r="O139" s="388"/>
      <c r="P139" s="388"/>
      <c r="Q139" s="388"/>
      <c r="R139" s="388"/>
      <c r="S139" s="388"/>
      <c r="T139" s="388"/>
      <c r="U139" s="380"/>
    </row>
    <row r="140" spans="2:21" s="2" customFormat="1" x14ac:dyDescent="0.3">
      <c r="B140" s="143"/>
      <c r="C140" s="143"/>
      <c r="D140" s="339"/>
      <c r="E140" s="339"/>
      <c r="F140" s="339"/>
      <c r="G140" s="339"/>
      <c r="H140" s="339"/>
      <c r="I140" s="339"/>
      <c r="J140" s="339"/>
      <c r="K140" s="114"/>
      <c r="L140" s="114"/>
      <c r="M140" s="114"/>
      <c r="N140" s="4"/>
      <c r="O140" s="4"/>
      <c r="P140" s="4"/>
      <c r="Q140" s="4"/>
      <c r="R140" s="4"/>
      <c r="S140" s="4"/>
      <c r="T140" s="4"/>
      <c r="U140" s="4"/>
    </row>
    <row r="141" spans="2:21" s="2" customFormat="1" ht="18" customHeight="1" x14ac:dyDescent="0.3">
      <c r="B141" s="41"/>
      <c r="C141" s="696"/>
      <c r="D141" s="696"/>
      <c r="E141" s="696"/>
      <c r="F141" s="696"/>
      <c r="G141" s="696"/>
      <c r="H141" s="696"/>
      <c r="I141" s="696"/>
      <c r="J141" s="696"/>
    </row>
    <row r="142" spans="2:21" x14ac:dyDescent="0.3">
      <c r="B142" s="1"/>
      <c r="C142" s="1"/>
      <c r="D142" s="124"/>
      <c r="E142" s="124"/>
      <c r="F142" s="124"/>
      <c r="G142" s="124"/>
      <c r="H142" s="7"/>
      <c r="I142" s="7"/>
      <c r="J142" s="7"/>
      <c r="K142" s="7"/>
      <c r="L142" s="7"/>
      <c r="M142" s="7"/>
      <c r="N142" s="7"/>
      <c r="O142" s="7"/>
      <c r="P142" s="1"/>
      <c r="Q142" s="1"/>
      <c r="R142" s="1"/>
      <c r="S142" s="1"/>
      <c r="T142" s="1"/>
      <c r="U142" s="1"/>
    </row>
    <row r="143" spans="2:21" x14ac:dyDescent="0.3">
      <c r="B143" s="1"/>
      <c r="C143" s="833"/>
      <c r="D143" s="830"/>
      <c r="E143" s="830"/>
      <c r="F143" s="830"/>
      <c r="G143" s="830"/>
      <c r="H143" s="7"/>
      <c r="I143" s="7"/>
      <c r="J143" s="7"/>
      <c r="K143" s="45"/>
      <c r="L143" s="11"/>
      <c r="M143" s="11"/>
      <c r="N143" s="7"/>
      <c r="O143" s="7"/>
      <c r="P143" s="1"/>
      <c r="Q143" s="1"/>
      <c r="R143" s="1"/>
      <c r="S143" s="1"/>
      <c r="T143" s="1"/>
      <c r="U143" s="1"/>
    </row>
    <row r="144" spans="2:21" x14ac:dyDescent="0.3">
      <c r="B144" s="1"/>
      <c r="C144" s="1"/>
      <c r="D144" s="1"/>
      <c r="E144" s="1263"/>
      <c r="F144" s="1263"/>
      <c r="G144" s="1263"/>
      <c r="H144" s="7"/>
      <c r="I144" s="7"/>
      <c r="J144" s="7"/>
      <c r="K144" s="50"/>
      <c r="L144" s="50"/>
      <c r="M144" s="50"/>
      <c r="N144" s="7"/>
      <c r="O144" s="7"/>
      <c r="P144" s="1"/>
      <c r="Q144" s="1"/>
      <c r="R144" s="1"/>
      <c r="S144" s="1"/>
      <c r="T144" s="1"/>
      <c r="U144" s="1"/>
    </row>
    <row r="145" spans="2:15" x14ac:dyDescent="0.3">
      <c r="B145" s="1"/>
      <c r="C145" s="1"/>
      <c r="D145" s="832"/>
      <c r="E145" s="832"/>
      <c r="F145" s="832"/>
      <c r="G145" s="832"/>
      <c r="H145" s="7"/>
      <c r="I145" s="7"/>
      <c r="J145" s="7"/>
      <c r="K145" s="7"/>
      <c r="L145" s="7"/>
      <c r="M145" s="7"/>
      <c r="N145" s="7"/>
      <c r="O145" s="7"/>
    </row>
    <row r="146" spans="2:15" x14ac:dyDescent="0.3">
      <c r="B146" s="1"/>
      <c r="C146" s="830"/>
      <c r="D146" s="830"/>
      <c r="E146" s="830"/>
      <c r="F146" s="830"/>
      <c r="G146" s="830"/>
      <c r="K146" s="7"/>
      <c r="L146" s="7"/>
      <c r="M146" s="7"/>
      <c r="N146" s="7"/>
      <c r="O146" s="7"/>
    </row>
    <row r="147" spans="2:15" x14ac:dyDescent="0.3">
      <c r="K147" s="7"/>
      <c r="L147" s="7"/>
      <c r="M147" s="51"/>
      <c r="N147" s="7"/>
      <c r="O147" s="7"/>
    </row>
    <row r="148" spans="2:15" x14ac:dyDescent="0.3">
      <c r="K148" s="7"/>
      <c r="L148" s="7"/>
      <c r="M148" s="7"/>
      <c r="N148" s="7"/>
      <c r="O148" s="7"/>
    </row>
  </sheetData>
  <mergeCells count="14">
    <mergeCell ref="P7:T7"/>
    <mergeCell ref="B4:J4"/>
    <mergeCell ref="K2:U2"/>
    <mergeCell ref="K3:U3"/>
    <mergeCell ref="K4:U4"/>
    <mergeCell ref="B7:B9"/>
    <mergeCell ref="C7:C9"/>
    <mergeCell ref="D7:D9"/>
    <mergeCell ref="K7:O7"/>
    <mergeCell ref="E7:G7"/>
    <mergeCell ref="H7:J7"/>
    <mergeCell ref="U7:U9"/>
    <mergeCell ref="B2:J2"/>
    <mergeCell ref="B3:J3"/>
  </mergeCells>
  <pageMargins left="0.19685039370078741" right="0.19685039370078741" top="0.19685039370078741" bottom="0.19685039370078741" header="0.31496062992125984" footer="0.31496062992125984"/>
  <pageSetup paperSize="9" scale="47" orientation="landscape" r:id="rId1"/>
  <headerFooter alignWithMargins="0"/>
  <rowBreaks count="1" manualBreakCount="1">
    <brk id="54" max="20" man="1"/>
  </rowBreaks>
  <colBreaks count="1" manualBreakCount="1">
    <brk id="10" max="152"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2:T104"/>
  <sheetViews>
    <sheetView showGridLines="0" topLeftCell="A45" zoomScale="70" zoomScaleNormal="75" workbookViewId="0">
      <selection activeCell="G58" sqref="G58"/>
    </sheetView>
  </sheetViews>
  <sheetFormatPr defaultColWidth="9.36328125" defaultRowHeight="14" x14ac:dyDescent="0.3"/>
  <cols>
    <col min="1" max="1" width="3.36328125" style="5" customWidth="1"/>
    <col min="2" max="2" width="8.36328125" style="85" customWidth="1"/>
    <col min="3" max="3" width="67.90625" style="5" customWidth="1"/>
    <col min="4" max="4" width="9.08984375" style="5" bestFit="1" customWidth="1"/>
    <col min="5" max="5" width="11.1796875" style="5" bestFit="1" customWidth="1"/>
    <col min="6" max="6" width="10.81640625" style="5" bestFit="1" customWidth="1"/>
    <col min="7" max="7" width="11.1796875" style="5" bestFit="1" customWidth="1"/>
    <col min="8" max="8" width="15.54296875" style="5" bestFit="1" customWidth="1"/>
    <col min="9" max="9" width="11.1796875" style="5" bestFit="1" customWidth="1"/>
    <col min="10" max="10" width="9.90625" style="5" bestFit="1" customWidth="1"/>
    <col min="11" max="11" width="12.6328125" style="5" bestFit="1" customWidth="1"/>
    <col min="12" max="12" width="14.54296875" style="5" bestFit="1" customWidth="1"/>
    <col min="13" max="13" width="13.90625" style="5" bestFit="1" customWidth="1"/>
    <col min="14" max="14" width="14.36328125" style="5" bestFit="1" customWidth="1"/>
    <col min="15" max="15" width="18.6328125" style="5" customWidth="1"/>
    <col min="16" max="16384" width="9.36328125" style="5"/>
  </cols>
  <sheetData>
    <row r="2" spans="2:15" x14ac:dyDescent="0.3">
      <c r="B2" s="1598" t="str">
        <f>Index!B2</f>
        <v xml:space="preserve">      Maharashtra State Power Generation Company Ltd.</v>
      </c>
      <c r="C2" s="1598"/>
      <c r="D2" s="1598"/>
      <c r="E2" s="1598"/>
      <c r="F2" s="1598"/>
      <c r="G2" s="112"/>
      <c r="H2" s="112"/>
      <c r="I2" s="112"/>
      <c r="J2" s="112"/>
      <c r="K2" s="112"/>
      <c r="L2" s="112"/>
      <c r="M2" s="112"/>
      <c r="N2" s="112"/>
      <c r="O2" s="112"/>
    </row>
    <row r="3" spans="2:15" x14ac:dyDescent="0.3">
      <c r="B3" s="1598" t="str">
        <f>Index!B3</f>
        <v>MYT Petition Formats for Bhusawal Unit 3</v>
      </c>
      <c r="C3" s="1598"/>
      <c r="D3" s="1598"/>
      <c r="E3" s="1598"/>
      <c r="F3" s="1598"/>
      <c r="G3" s="112"/>
      <c r="H3" s="112"/>
      <c r="I3" s="112"/>
      <c r="J3" s="112"/>
      <c r="K3" s="112"/>
      <c r="L3" s="112"/>
      <c r="M3" s="112"/>
      <c r="N3" s="112"/>
      <c r="O3" s="112"/>
    </row>
    <row r="4" spans="2:15" x14ac:dyDescent="0.3">
      <c r="B4" s="1599" t="s">
        <v>384</v>
      </c>
      <c r="C4" s="1599"/>
      <c r="D4" s="1599"/>
      <c r="E4" s="1599"/>
      <c r="F4" s="1599"/>
      <c r="G4" s="112"/>
      <c r="H4" s="112"/>
      <c r="I4" s="112"/>
      <c r="J4" s="112"/>
      <c r="K4" s="112"/>
      <c r="L4" s="112"/>
      <c r="M4" s="112"/>
      <c r="N4" s="112"/>
      <c r="O4" s="112"/>
    </row>
    <row r="5" spans="2:15" x14ac:dyDescent="0.3">
      <c r="B5" s="150"/>
      <c r="C5" s="7"/>
      <c r="D5" s="18"/>
      <c r="E5" s="18"/>
      <c r="F5" s="18"/>
      <c r="G5" s="18"/>
      <c r="H5" s="18"/>
      <c r="I5" s="18"/>
    </row>
    <row r="6" spans="2:15" x14ac:dyDescent="0.3">
      <c r="B6" s="149" t="s">
        <v>1112</v>
      </c>
      <c r="C6" s="7"/>
      <c r="D6" s="18"/>
      <c r="E6" s="18"/>
      <c r="F6" s="18"/>
      <c r="G6" s="18"/>
      <c r="H6" s="18"/>
      <c r="I6" s="18"/>
    </row>
    <row r="7" spans="2:15" x14ac:dyDescent="0.3">
      <c r="B7" s="149"/>
      <c r="C7" s="17"/>
      <c r="D7" s="18"/>
      <c r="E7" s="18"/>
      <c r="G7" s="21"/>
      <c r="H7" s="21"/>
      <c r="I7" s="18"/>
      <c r="J7" s="21" t="s">
        <v>10</v>
      </c>
    </row>
    <row r="8" spans="2:15" s="35" customFormat="1" x14ac:dyDescent="0.3">
      <c r="B8" s="1645" t="s">
        <v>340</v>
      </c>
      <c r="C8" s="1647" t="s">
        <v>38</v>
      </c>
      <c r="D8" s="1647" t="s">
        <v>146</v>
      </c>
      <c r="E8" s="1595" t="s">
        <v>505</v>
      </c>
      <c r="F8" s="1597"/>
      <c r="G8" s="1595" t="s">
        <v>506</v>
      </c>
      <c r="H8" s="1597"/>
      <c r="I8" s="1595" t="s">
        <v>507</v>
      </c>
      <c r="J8" s="1597"/>
      <c r="K8" s="52"/>
      <c r="L8" s="52"/>
      <c r="M8" s="52"/>
    </row>
    <row r="9" spans="2:15" s="35" customFormat="1" ht="33.65" customHeight="1" x14ac:dyDescent="0.3">
      <c r="B9" s="1646"/>
      <c r="C9" s="1648"/>
      <c r="D9" s="1648"/>
      <c r="E9" s="594" t="s">
        <v>1065</v>
      </c>
      <c r="F9" s="250" t="s">
        <v>817</v>
      </c>
      <c r="G9" s="638" t="s">
        <v>1065</v>
      </c>
      <c r="H9" s="638" t="s">
        <v>817</v>
      </c>
      <c r="I9" s="638" t="s">
        <v>1065</v>
      </c>
      <c r="J9" s="638" t="s">
        <v>817</v>
      </c>
      <c r="K9" s="52"/>
      <c r="L9" s="52"/>
      <c r="M9" s="52"/>
    </row>
    <row r="10" spans="2:15" s="409" customFormat="1" x14ac:dyDescent="0.3">
      <c r="B10" s="408">
        <v>1</v>
      </c>
      <c r="C10" s="519" t="s">
        <v>451</v>
      </c>
      <c r="D10" s="447"/>
      <c r="E10" s="507">
        <f>'F2.2'!E12</f>
        <v>0.8</v>
      </c>
      <c r="F10" s="507">
        <f>'F2.2'!F12</f>
        <v>0.8</v>
      </c>
      <c r="G10" s="507">
        <f>'F2.2'!I12</f>
        <v>0.8</v>
      </c>
      <c r="H10" s="697">
        <f>'F2.2'!J12</f>
        <v>0.8</v>
      </c>
      <c r="I10" s="507">
        <f>'F2.2'!N12</f>
        <v>0.8</v>
      </c>
      <c r="J10" s="697">
        <f>'F2.2'!Q12</f>
        <v>0.8</v>
      </c>
      <c r="K10" s="52"/>
      <c r="L10" s="52"/>
      <c r="M10" s="52"/>
    </row>
    <row r="11" spans="2:15" s="409" customFormat="1" x14ac:dyDescent="0.3">
      <c r="B11" s="408">
        <v>1.1000000000000001</v>
      </c>
      <c r="C11" s="523" t="s">
        <v>643</v>
      </c>
      <c r="D11" s="447"/>
      <c r="E11" s="475"/>
      <c r="F11" s="698"/>
      <c r="G11" s="475"/>
      <c r="H11" s="698"/>
      <c r="I11" s="475"/>
      <c r="J11" s="698"/>
      <c r="K11" s="52"/>
      <c r="L11" s="52"/>
      <c r="M11" s="52"/>
    </row>
    <row r="12" spans="2:15" s="6" customFormat="1" x14ac:dyDescent="0.3">
      <c r="B12" s="408"/>
      <c r="C12" s="699" t="s">
        <v>644</v>
      </c>
      <c r="D12" s="447"/>
      <c r="E12" s="315"/>
      <c r="F12" s="315">
        <f>'F2.2'!F15</f>
        <v>0.61107</v>
      </c>
      <c r="G12" s="315"/>
      <c r="H12" s="315">
        <f>'F2.2'!J15</f>
        <v>0</v>
      </c>
      <c r="I12" s="315"/>
      <c r="J12" s="315">
        <f>'F2.2'!N15</f>
        <v>0</v>
      </c>
      <c r="K12" s="52"/>
    </row>
    <row r="13" spans="2:15" s="6" customFormat="1" x14ac:dyDescent="0.3">
      <c r="B13" s="408"/>
      <c r="C13" s="699" t="s">
        <v>645</v>
      </c>
      <c r="D13" s="447"/>
      <c r="E13" s="315"/>
      <c r="F13" s="315">
        <f>'F2.2'!F16</f>
        <v>0.61043999999999998</v>
      </c>
      <c r="G13" s="315"/>
      <c r="H13" s="315">
        <f>'F2.2'!J16</f>
        <v>0</v>
      </c>
      <c r="I13" s="315"/>
      <c r="J13" s="315">
        <f>'F2.2'!N16</f>
        <v>0</v>
      </c>
      <c r="K13" s="52"/>
    </row>
    <row r="14" spans="2:15" s="6" customFormat="1" x14ac:dyDescent="0.3">
      <c r="B14" s="408">
        <v>1.2</v>
      </c>
      <c r="C14" s="523" t="s">
        <v>646</v>
      </c>
      <c r="D14" s="447"/>
      <c r="E14" s="315"/>
      <c r="F14" s="315"/>
      <c r="G14" s="315"/>
      <c r="H14" s="315"/>
      <c r="I14" s="315"/>
      <c r="J14" s="315"/>
      <c r="K14" s="52"/>
    </row>
    <row r="15" spans="2:15" s="6" customFormat="1" x14ac:dyDescent="0.3">
      <c r="B15" s="408"/>
      <c r="C15" s="699" t="s">
        <v>644</v>
      </c>
      <c r="D15" s="447"/>
      <c r="E15" s="315"/>
      <c r="F15" s="315">
        <f>'F2.2'!F18</f>
        <v>0.55110999999999999</v>
      </c>
      <c r="G15" s="315"/>
      <c r="H15" s="315">
        <f>'F2.2'!J18</f>
        <v>0</v>
      </c>
      <c r="I15" s="315"/>
      <c r="J15" s="315">
        <f>'F2.2'!N18</f>
        <v>0</v>
      </c>
      <c r="K15" s="52"/>
    </row>
    <row r="16" spans="2:15" s="6" customFormat="1" x14ac:dyDescent="0.3">
      <c r="B16" s="408"/>
      <c r="C16" s="699" t="s">
        <v>645</v>
      </c>
      <c r="D16" s="447"/>
      <c r="E16" s="315"/>
      <c r="F16" s="315">
        <f>'F2.2'!F19</f>
        <v>0.55418000000000001</v>
      </c>
      <c r="G16" s="315"/>
      <c r="H16" s="315">
        <f>'F2.2'!J19</f>
        <v>0</v>
      </c>
      <c r="I16" s="315"/>
      <c r="J16" s="315">
        <f>'F2.2'!N19</f>
        <v>0</v>
      </c>
      <c r="K16" s="52"/>
    </row>
    <row r="17" spans="2:11" s="6" customFormat="1" x14ac:dyDescent="0.3">
      <c r="B17" s="408">
        <v>2</v>
      </c>
      <c r="C17" s="519" t="s">
        <v>707</v>
      </c>
      <c r="D17" s="447"/>
      <c r="E17" s="315"/>
      <c r="F17" s="315"/>
      <c r="G17" s="315"/>
      <c r="H17" s="315"/>
      <c r="I17" s="315"/>
      <c r="J17" s="315"/>
      <c r="K17" s="52"/>
    </row>
    <row r="18" spans="2:11" s="6" customFormat="1" x14ac:dyDescent="0.3">
      <c r="B18" s="408">
        <v>3</v>
      </c>
      <c r="C18" s="519" t="s">
        <v>741</v>
      </c>
      <c r="D18" s="447"/>
      <c r="E18" s="315"/>
      <c r="F18" s="315"/>
      <c r="G18" s="315"/>
      <c r="H18" s="315"/>
      <c r="I18" s="315"/>
      <c r="J18" s="315"/>
      <c r="K18" s="52"/>
    </row>
    <row r="19" spans="2:11" s="6" customFormat="1" ht="16" x14ac:dyDescent="0.3">
      <c r="B19" s="408">
        <f>B18+1</f>
        <v>4</v>
      </c>
      <c r="C19" s="519" t="s">
        <v>329</v>
      </c>
      <c r="D19" s="1219">
        <v>30</v>
      </c>
      <c r="E19" s="315">
        <v>37.833095421482945</v>
      </c>
      <c r="F19" s="315">
        <f>SUM('F2.2'!$F$116:$F$118)/365*$D19</f>
        <v>24.775641196046362</v>
      </c>
      <c r="G19" s="470">
        <v>46.268325886329471</v>
      </c>
      <c r="H19" s="315">
        <f>SUM('F2.2'!$J$116:$J$118)/366*$D19</f>
        <v>33.363409570987223</v>
      </c>
      <c r="I19" s="470">
        <v>46.826281195465143</v>
      </c>
      <c r="J19" s="315">
        <f>SUM('F2.2'!$N$116:$N$118)/365*$D19</f>
        <v>42.835225028020439</v>
      </c>
      <c r="K19" s="52"/>
    </row>
    <row r="20" spans="2:11" s="6" customFormat="1" ht="16" x14ac:dyDescent="0.3">
      <c r="B20" s="408">
        <f t="shared" ref="B20:B30" si="0">B19+1</f>
        <v>5</v>
      </c>
      <c r="C20" s="519" t="s">
        <v>332</v>
      </c>
      <c r="D20" s="1219">
        <v>30</v>
      </c>
      <c r="E20" s="315">
        <f>E19</f>
        <v>37.833095421482945</v>
      </c>
      <c r="F20" s="315">
        <f>SUM('F2.2'!$F$116:$F$118)/365*$D20</f>
        <v>24.775641196046362</v>
      </c>
      <c r="G20" s="470">
        <f>G19</f>
        <v>46.268325886329471</v>
      </c>
      <c r="H20" s="315">
        <f>SUM('F2.2'!$J$116:$J$118)/366*$D20</f>
        <v>33.363409570987223</v>
      </c>
      <c r="I20" s="470">
        <f>I19</f>
        <v>46.826281195465143</v>
      </c>
      <c r="J20" s="315">
        <f>SUM('F2.2'!$N$116:$N$118)/365*$D20</f>
        <v>42.835225028020439</v>
      </c>
      <c r="K20" s="52"/>
    </row>
    <row r="21" spans="2:11" s="6" customFormat="1" ht="16" x14ac:dyDescent="0.3">
      <c r="B21" s="408">
        <f t="shared" si="0"/>
        <v>6</v>
      </c>
      <c r="C21" s="86" t="s">
        <v>330</v>
      </c>
      <c r="D21" s="1219"/>
      <c r="E21" s="315"/>
      <c r="F21" s="315"/>
      <c r="G21" s="470"/>
      <c r="H21" s="315"/>
      <c r="I21" s="470"/>
      <c r="J21" s="315"/>
      <c r="K21" s="52"/>
    </row>
    <row r="22" spans="2:11" s="6" customFormat="1" ht="16" x14ac:dyDescent="0.3">
      <c r="B22" s="408">
        <f t="shared" si="0"/>
        <v>7</v>
      </c>
      <c r="C22" s="86" t="s">
        <v>331</v>
      </c>
      <c r="D22" s="1220">
        <v>2</v>
      </c>
      <c r="E22" s="315">
        <v>1.5333093460464013</v>
      </c>
      <c r="F22" s="315">
        <f>SUM('F2.2'!$F$121:$F$124)/12*$D22</f>
        <v>1.0797668522696557</v>
      </c>
      <c r="G22" s="470">
        <v>2.1524427801266</v>
      </c>
      <c r="H22" s="315">
        <f>SUM('F2.2'!$J$121:$J$124)/12*$D22</f>
        <v>1.4139144762343958</v>
      </c>
      <c r="I22" s="470">
        <v>2.1787602157579289</v>
      </c>
      <c r="J22" s="315">
        <f>SUM('F2.2'!$N$121:$N$124)/12*$D22</f>
        <v>1.722650960232059</v>
      </c>
      <c r="K22" s="52"/>
    </row>
    <row r="23" spans="2:11" s="6" customFormat="1" ht="16" x14ac:dyDescent="0.3">
      <c r="B23" s="408">
        <f t="shared" si="0"/>
        <v>8</v>
      </c>
      <c r="C23" s="86" t="s">
        <v>147</v>
      </c>
      <c r="D23" s="4"/>
      <c r="E23" s="315"/>
      <c r="F23" s="315"/>
      <c r="G23" s="470"/>
      <c r="H23" s="315"/>
      <c r="I23" s="470"/>
      <c r="J23" s="315"/>
      <c r="K23" s="52"/>
    </row>
    <row r="24" spans="2:11" s="6" customFormat="1" ht="16" x14ac:dyDescent="0.3">
      <c r="B24" s="408">
        <f t="shared" si="0"/>
        <v>9</v>
      </c>
      <c r="C24" s="86" t="s">
        <v>148</v>
      </c>
      <c r="D24" s="4"/>
      <c r="E24" s="315"/>
      <c r="F24" s="315"/>
      <c r="G24" s="470"/>
      <c r="H24" s="315"/>
      <c r="I24" s="470"/>
      <c r="J24" s="315"/>
      <c r="K24" s="52"/>
    </row>
    <row r="25" spans="2:11" s="6" customFormat="1" ht="16" x14ac:dyDescent="0.3">
      <c r="B25" s="408">
        <f t="shared" si="0"/>
        <v>10</v>
      </c>
      <c r="C25" s="86" t="s">
        <v>149</v>
      </c>
      <c r="D25" s="4"/>
      <c r="E25" s="315"/>
      <c r="F25" s="315"/>
      <c r="G25" s="470"/>
      <c r="H25" s="315"/>
      <c r="I25" s="470"/>
      <c r="J25" s="315"/>
      <c r="K25" s="52"/>
    </row>
    <row r="26" spans="2:11" s="6" customFormat="1" x14ac:dyDescent="0.3">
      <c r="B26" s="408">
        <f t="shared" si="0"/>
        <v>11</v>
      </c>
      <c r="C26" s="519" t="s">
        <v>174</v>
      </c>
      <c r="D26" s="1221">
        <v>1</v>
      </c>
      <c r="E26" s="315">
        <v>9.9413262718798467</v>
      </c>
      <c r="F26" s="315">
        <f>('F1'!$F$13+'F1'!$F$21)/12*$D26</f>
        <v>10.372509287452004</v>
      </c>
      <c r="G26" s="470">
        <v>10.283548230929146</v>
      </c>
      <c r="H26" s="315">
        <f>('F1'!$J$13+'F1'!$K$21)/12*$D26</f>
        <v>11.813697147024378</v>
      </c>
      <c r="I26" s="470">
        <v>10.639245058448294</v>
      </c>
      <c r="J26" s="315">
        <f>('F1'!$N$13+'F1'!$Q$21)/12*$D26</f>
        <v>12.157498366804708</v>
      </c>
      <c r="K26" s="52"/>
    </row>
    <row r="27" spans="2:11" s="6" customFormat="1" x14ac:dyDescent="0.3">
      <c r="B27" s="408">
        <f t="shared" si="0"/>
        <v>12</v>
      </c>
      <c r="C27" s="519" t="s">
        <v>1113</v>
      </c>
      <c r="D27" s="1222">
        <v>0.01</v>
      </c>
      <c r="E27" s="315">
        <v>4.6585198681252065</v>
      </c>
      <c r="F27" s="315">
        <f>'F3.4'!$D$23*$D27</f>
        <v>4.6585198681252065</v>
      </c>
      <c r="G27" s="470">
        <v>4.6585198681252065</v>
      </c>
      <c r="H27" s="315">
        <f>'F3.4'!$E$23*$D27</f>
        <v>4.6583420932052073</v>
      </c>
      <c r="I27" s="470">
        <v>4.713919868125207</v>
      </c>
      <c r="J27" s="315">
        <f>'F3.4'!$H$23*$D27</f>
        <v>4.6624213845652074</v>
      </c>
      <c r="K27" s="52"/>
    </row>
    <row r="28" spans="2:11" s="6" customFormat="1" x14ac:dyDescent="0.3">
      <c r="B28" s="408">
        <f t="shared" si="0"/>
        <v>13</v>
      </c>
      <c r="C28" s="519" t="s">
        <v>151</v>
      </c>
      <c r="D28" s="1223">
        <v>45</v>
      </c>
      <c r="E28" s="315">
        <v>76.881426794619728</v>
      </c>
      <c r="F28" s="315">
        <f>('F1'!$G$27-'F1'!$G$11+'F1'!$F$11-'F1'!$G$13+'F1'!$F$13)/365*$D28</f>
        <v>58.927699482932759</v>
      </c>
      <c r="G28" s="470">
        <v>92.343922255834045</v>
      </c>
      <c r="H28" s="315">
        <f>('F1'!$K$27-'F1'!$K$11+'F1'!$J$11-'F1'!$K$13+'F1'!$J$13)/366*69</f>
        <v>115.38163934828177</v>
      </c>
      <c r="I28" s="470">
        <v>93.839145763996669</v>
      </c>
      <c r="J28" s="315">
        <f ca="1">('F1'!$Q$27-'F1'!$Q$11+'F1'!$N$11-'F1'!$Q$13+'F1'!$N$13)/365*75</f>
        <v>148.56648747293414</v>
      </c>
      <c r="K28" s="52"/>
    </row>
    <row r="29" spans="2:11" s="6" customFormat="1" ht="16" x14ac:dyDescent="0.3">
      <c r="B29" s="408">
        <f t="shared" si="0"/>
        <v>14</v>
      </c>
      <c r="C29" s="519" t="s">
        <v>547</v>
      </c>
      <c r="D29" s="1223">
        <v>30</v>
      </c>
      <c r="E29" s="315">
        <v>0.63887889418600052</v>
      </c>
      <c r="F29" s="315">
        <f>SUM('F2.2'!$F$121:$F$124)/365*$D29</f>
        <v>0.53248776276311793</v>
      </c>
      <c r="G29" s="470">
        <v>0.89685115838608331</v>
      </c>
      <c r="H29" s="315">
        <f>SUM('F2.2'!$J$121:$J$124)/366*$D29</f>
        <v>0.6953677751972438</v>
      </c>
      <c r="I29" s="470">
        <v>0.90781675656580374</v>
      </c>
      <c r="J29" s="315">
        <f>SUM('F2.2'!$N$121:$N$124)/365*$D29</f>
        <v>0.84952650093635784</v>
      </c>
      <c r="K29" s="52"/>
    </row>
    <row r="30" spans="2:11" s="6" customFormat="1" x14ac:dyDescent="0.3">
      <c r="B30" s="408">
        <f t="shared" si="0"/>
        <v>15</v>
      </c>
      <c r="C30" s="171" t="s">
        <v>152</v>
      </c>
      <c r="D30" s="3"/>
      <c r="E30" s="704">
        <f>SUM(E19:E28)-E29</f>
        <v>168.04189422945109</v>
      </c>
      <c r="F30" s="704">
        <f>SUM(F19:F28)-F29</f>
        <v>124.05729012010923</v>
      </c>
      <c r="G30" s="704">
        <f t="shared" ref="G30:J30" si="1">SUM(G19:G28)-G29</f>
        <v>201.07823374928785</v>
      </c>
      <c r="H30" s="704">
        <f t="shared" si="1"/>
        <v>199.29904443152296</v>
      </c>
      <c r="I30" s="704">
        <f t="shared" si="1"/>
        <v>204.11581654069258</v>
      </c>
      <c r="J30" s="704">
        <f t="shared" ca="1" si="1"/>
        <v>251.92998173964065</v>
      </c>
      <c r="K30" s="52"/>
    </row>
    <row r="31" spans="2:11" s="6" customFormat="1" x14ac:dyDescent="0.3">
      <c r="B31" s="469"/>
      <c r="C31" s="524"/>
      <c r="D31" s="3"/>
      <c r="E31" s="315"/>
      <c r="F31" s="647"/>
      <c r="G31" s="315"/>
      <c r="H31" s="647"/>
      <c r="I31" s="315"/>
      <c r="J31" s="647"/>
      <c r="K31" s="52"/>
    </row>
    <row r="32" spans="2:11" s="6" customFormat="1" x14ac:dyDescent="0.3">
      <c r="B32" s="408">
        <f>B30+1</f>
        <v>16</v>
      </c>
      <c r="C32" s="173" t="s">
        <v>377</v>
      </c>
      <c r="D32" s="3"/>
      <c r="E32" s="315"/>
      <c r="F32" s="315"/>
      <c r="G32" s="315"/>
      <c r="H32" s="315"/>
      <c r="I32" s="315"/>
      <c r="J32" s="315"/>
      <c r="K32" s="52"/>
    </row>
    <row r="33" spans="2:20" x14ac:dyDescent="0.3">
      <c r="B33" s="408">
        <f t="shared" ref="B33:B35" si="2">B32+1</f>
        <v>17</v>
      </c>
      <c r="C33" s="519" t="s">
        <v>378</v>
      </c>
      <c r="D33" s="3"/>
      <c r="E33" s="752">
        <v>9.4500000000000001E-2</v>
      </c>
      <c r="F33" s="752">
        <v>9.2987671232876712E-2</v>
      </c>
      <c r="G33" s="771">
        <v>9.4500000000000001E-2</v>
      </c>
      <c r="H33" s="1040">
        <v>0.10065163934426231</v>
      </c>
      <c r="I33" s="1377">
        <v>9.4500000000000001E-2</v>
      </c>
      <c r="J33" s="1040">
        <v>0.1045</v>
      </c>
      <c r="K33" s="52"/>
    </row>
    <row r="34" spans="2:20" x14ac:dyDescent="0.3">
      <c r="B34" s="236">
        <f t="shared" si="2"/>
        <v>18</v>
      </c>
      <c r="C34" s="171" t="s">
        <v>88</v>
      </c>
      <c r="D34" s="3"/>
      <c r="E34" s="705">
        <f>E30*E33</f>
        <v>15.879959004683128</v>
      </c>
      <c r="F34" s="705">
        <f>F30*F33</f>
        <v>11.535798507730322</v>
      </c>
      <c r="G34" s="705">
        <f t="shared" ref="G34:I34" si="3">G30*G33</f>
        <v>19.001893089307703</v>
      </c>
      <c r="H34" s="705">
        <f>H30*H33</f>
        <v>20.059775541777761</v>
      </c>
      <c r="I34" s="705">
        <f t="shared" si="3"/>
        <v>19.28894466309545</v>
      </c>
      <c r="J34" s="705">
        <f t="shared" ref="J34" ca="1" si="4">J30*J33</f>
        <v>26.326683091792447</v>
      </c>
      <c r="K34" s="52"/>
    </row>
    <row r="35" spans="2:20" x14ac:dyDescent="0.3">
      <c r="B35" s="236">
        <f t="shared" si="2"/>
        <v>19</v>
      </c>
      <c r="C35" s="171" t="s">
        <v>1051</v>
      </c>
      <c r="D35" s="3"/>
      <c r="E35" s="706"/>
      <c r="F35" s="315">
        <v>24.055384795471554</v>
      </c>
      <c r="G35" s="706"/>
      <c r="H35" s="315">
        <v>36.403717293309533</v>
      </c>
      <c r="I35" s="706"/>
      <c r="J35" s="315"/>
      <c r="K35" s="52"/>
    </row>
    <row r="36" spans="2:20" s="1" customFormat="1" x14ac:dyDescent="0.3">
      <c r="B36" s="206"/>
      <c r="C36" s="520"/>
      <c r="D36" s="7"/>
      <c r="E36" s="207"/>
      <c r="F36" s="207"/>
      <c r="G36" s="207"/>
      <c r="H36" s="207"/>
      <c r="I36" s="207"/>
      <c r="J36" s="207"/>
      <c r="K36" s="52"/>
      <c r="L36" s="52"/>
      <c r="M36" s="52"/>
      <c r="N36" s="52"/>
      <c r="O36" s="52"/>
      <c r="P36" s="52"/>
    </row>
    <row r="37" spans="2:20" s="1" customFormat="1" hidden="1" x14ac:dyDescent="0.3">
      <c r="B37" s="168" t="s">
        <v>145</v>
      </c>
      <c r="C37" s="521"/>
      <c r="D37" s="7"/>
      <c r="E37" s="7"/>
      <c r="F37" s="7"/>
      <c r="G37" s="7"/>
      <c r="H37" s="7"/>
      <c r="I37" s="7"/>
      <c r="J37" s="7"/>
    </row>
    <row r="38" spans="2:20" s="1" customFormat="1" hidden="1" x14ac:dyDescent="0.3">
      <c r="B38" s="91">
        <v>1</v>
      </c>
      <c r="C38" s="522" t="s">
        <v>154</v>
      </c>
      <c r="D38" s="45"/>
      <c r="E38" s="45"/>
      <c r="F38" s="11"/>
      <c r="G38" s="11"/>
      <c r="H38" s="11"/>
      <c r="I38" s="11"/>
      <c r="J38" s="7"/>
    </row>
    <row r="39" spans="2:20" s="1" customFormat="1" hidden="1" x14ac:dyDescent="0.3">
      <c r="B39" s="91">
        <v>2</v>
      </c>
      <c r="C39" s="522" t="s">
        <v>155</v>
      </c>
      <c r="D39" s="45"/>
      <c r="E39" s="45"/>
      <c r="F39" s="11"/>
      <c r="G39" s="11"/>
      <c r="H39" s="11"/>
      <c r="I39" s="11"/>
      <c r="J39" s="7"/>
    </row>
    <row r="40" spans="2:20" s="1" customFormat="1" ht="18" hidden="1" customHeight="1" x14ac:dyDescent="0.3">
      <c r="B40" s="91">
        <v>3</v>
      </c>
      <c r="C40" s="522" t="s">
        <v>156</v>
      </c>
      <c r="D40" s="41"/>
      <c r="E40" s="41"/>
      <c r="F40" s="41"/>
      <c r="G40" s="41"/>
      <c r="H40" s="41"/>
      <c r="I40" s="41"/>
      <c r="J40" s="7"/>
    </row>
    <row r="41" spans="2:20" hidden="1" x14ac:dyDescent="0.3">
      <c r="B41" s="156">
        <v>4</v>
      </c>
      <c r="C41" s="521" t="s">
        <v>683</v>
      </c>
      <c r="D41" s="7"/>
      <c r="E41" s="7"/>
      <c r="F41" s="7"/>
      <c r="G41" s="7"/>
      <c r="H41" s="7"/>
      <c r="I41" s="7"/>
      <c r="J41" s="7"/>
    </row>
    <row r="42" spans="2:20" hidden="1" x14ac:dyDescent="0.3">
      <c r="B42" s="156">
        <v>5</v>
      </c>
      <c r="C42" s="521" t="s">
        <v>452</v>
      </c>
      <c r="D42" s="7"/>
      <c r="E42" s="7"/>
      <c r="F42" s="7"/>
      <c r="G42" s="7"/>
      <c r="H42" s="7"/>
      <c r="I42" s="7"/>
      <c r="J42" s="7"/>
    </row>
    <row r="43" spans="2:20" hidden="1" x14ac:dyDescent="0.3">
      <c r="B43" s="156"/>
      <c r="C43" s="521"/>
      <c r="D43" s="7"/>
      <c r="E43" s="7"/>
      <c r="F43" s="7"/>
      <c r="G43" s="7"/>
      <c r="H43" s="7"/>
      <c r="I43" s="7"/>
      <c r="J43" s="7"/>
    </row>
    <row r="44" spans="2:20" hidden="1" x14ac:dyDescent="0.3">
      <c r="B44" s="156"/>
      <c r="C44" s="521"/>
      <c r="D44" s="7"/>
      <c r="E44" s="7"/>
      <c r="F44" s="7"/>
      <c r="G44" s="7"/>
      <c r="H44" s="7"/>
      <c r="I44" s="7"/>
      <c r="J44" s="7"/>
    </row>
    <row r="45" spans="2:20" x14ac:dyDescent="0.3">
      <c r="B45" s="168" t="s">
        <v>1105</v>
      </c>
      <c r="C45" s="521"/>
      <c r="D45" s="7"/>
      <c r="E45" s="344"/>
      <c r="F45" s="7"/>
      <c r="G45" s="7"/>
      <c r="H45" s="7"/>
      <c r="I45" s="7"/>
      <c r="J45" s="7"/>
    </row>
    <row r="46" spans="2:20" s="11" customFormat="1" x14ac:dyDescent="0.3">
      <c r="B46" s="87"/>
      <c r="C46" s="707"/>
      <c r="I46" s="708" t="s">
        <v>10</v>
      </c>
    </row>
    <row r="47" spans="2:20" s="35" customFormat="1" ht="27.65" customHeight="1" x14ac:dyDescent="0.3">
      <c r="B47" s="1639" t="s">
        <v>340</v>
      </c>
      <c r="C47" s="1641" t="s">
        <v>38</v>
      </c>
      <c r="D47" s="1641" t="s">
        <v>146</v>
      </c>
      <c r="E47" s="655" t="s">
        <v>1067</v>
      </c>
      <c r="F47" s="655" t="s">
        <v>1068</v>
      </c>
      <c r="G47" s="655" t="s">
        <v>1069</v>
      </c>
      <c r="H47" s="655" t="s">
        <v>1070</v>
      </c>
      <c r="I47" s="679" t="s">
        <v>1071</v>
      </c>
      <c r="J47" s="52"/>
      <c r="K47" s="52"/>
      <c r="L47" s="52"/>
      <c r="M47" s="52"/>
      <c r="N47" s="52"/>
      <c r="S47" s="52"/>
      <c r="T47" s="52"/>
    </row>
    <row r="48" spans="2:20" s="36" customFormat="1" ht="37.75" customHeight="1" x14ac:dyDescent="0.25">
      <c r="B48" s="1639"/>
      <c r="C48" s="1641"/>
      <c r="D48" s="1641"/>
      <c r="E48" s="638" t="s">
        <v>21</v>
      </c>
      <c r="F48" s="287" t="s">
        <v>21</v>
      </c>
      <c r="G48" s="638" t="s">
        <v>21</v>
      </c>
      <c r="H48" s="638" t="s">
        <v>21</v>
      </c>
      <c r="I48" s="638" t="s">
        <v>21</v>
      </c>
      <c r="J48" s="642"/>
      <c r="K48" s="642"/>
      <c r="L48" s="642"/>
      <c r="M48" s="642"/>
      <c r="N48" s="642"/>
    </row>
    <row r="49" spans="2:14" s="404" customFormat="1" x14ac:dyDescent="0.3">
      <c r="B49" s="408">
        <v>1</v>
      </c>
      <c r="C49" s="519" t="s">
        <v>451</v>
      </c>
      <c r="D49" s="447"/>
      <c r="E49" s="487"/>
      <c r="F49" s="508"/>
      <c r="G49" s="487"/>
      <c r="H49" s="508"/>
      <c r="I49" s="487"/>
      <c r="J49" s="674"/>
      <c r="K49" s="675"/>
      <c r="L49" s="674"/>
      <c r="M49" s="675"/>
      <c r="N49" s="674"/>
    </row>
    <row r="50" spans="2:14" s="404" customFormat="1" x14ac:dyDescent="0.3">
      <c r="B50" s="408">
        <v>1.1000000000000001</v>
      </c>
      <c r="C50" s="523" t="s">
        <v>643</v>
      </c>
      <c r="D50" s="447"/>
      <c r="E50" s="428"/>
      <c r="F50" s="428"/>
      <c r="G50" s="428"/>
      <c r="H50" s="428"/>
      <c r="I50" s="428"/>
      <c r="J50" s="648"/>
      <c r="K50" s="648"/>
      <c r="L50" s="648"/>
      <c r="M50" s="648"/>
      <c r="N50" s="648"/>
    </row>
    <row r="51" spans="2:14" s="404" customFormat="1" x14ac:dyDescent="0.3">
      <c r="B51" s="408"/>
      <c r="C51" s="523" t="s">
        <v>644</v>
      </c>
      <c r="D51" s="447"/>
      <c r="E51" s="428"/>
      <c r="F51" s="428"/>
      <c r="G51" s="428"/>
      <c r="H51" s="428"/>
      <c r="I51" s="428"/>
      <c r="J51" s="648"/>
      <c r="K51" s="648"/>
      <c r="L51" s="648"/>
      <c r="M51" s="648"/>
      <c r="N51" s="648"/>
    </row>
    <row r="52" spans="2:14" s="404" customFormat="1" x14ac:dyDescent="0.3">
      <c r="B52" s="408"/>
      <c r="C52" s="523" t="s">
        <v>645</v>
      </c>
      <c r="D52" s="447"/>
      <c r="E52" s="428"/>
      <c r="F52" s="428"/>
      <c r="G52" s="428"/>
      <c r="H52" s="428"/>
      <c r="I52" s="428"/>
      <c r="J52" s="648"/>
      <c r="K52" s="648"/>
      <c r="L52" s="648"/>
      <c r="M52" s="648"/>
      <c r="N52" s="648"/>
    </row>
    <row r="53" spans="2:14" s="404" customFormat="1" x14ac:dyDescent="0.3">
      <c r="B53" s="408">
        <v>1.2</v>
      </c>
      <c r="C53" s="523" t="s">
        <v>646</v>
      </c>
      <c r="D53" s="447"/>
      <c r="E53" s="428"/>
      <c r="F53" s="428"/>
      <c r="G53" s="428"/>
      <c r="H53" s="428"/>
      <c r="I53" s="428"/>
      <c r="J53" s="648"/>
      <c r="K53" s="648"/>
      <c r="L53" s="648"/>
      <c r="M53" s="648"/>
      <c r="N53" s="648"/>
    </row>
    <row r="54" spans="2:14" s="404" customFormat="1" x14ac:dyDescent="0.3">
      <c r="B54" s="408"/>
      <c r="C54" s="523" t="s">
        <v>644</v>
      </c>
      <c r="D54" s="447"/>
      <c r="E54" s="428"/>
      <c r="F54" s="428"/>
      <c r="G54" s="428"/>
      <c r="H54" s="428"/>
      <c r="I54" s="428"/>
      <c r="J54" s="648"/>
      <c r="K54" s="648"/>
      <c r="L54" s="648"/>
      <c r="M54" s="648"/>
      <c r="N54" s="648"/>
    </row>
    <row r="55" spans="2:14" s="404" customFormat="1" x14ac:dyDescent="0.3">
      <c r="B55" s="408"/>
      <c r="C55" s="523" t="s">
        <v>645</v>
      </c>
      <c r="D55" s="447"/>
      <c r="E55" s="428"/>
      <c r="F55" s="428"/>
      <c r="G55" s="428"/>
      <c r="H55" s="428"/>
      <c r="I55" s="428"/>
      <c r="J55" s="648"/>
      <c r="K55" s="648"/>
      <c r="L55" s="648"/>
      <c r="M55" s="648"/>
      <c r="N55" s="648"/>
    </row>
    <row r="56" spans="2:14" s="404" customFormat="1" x14ac:dyDescent="0.3">
      <c r="B56" s="408">
        <v>2</v>
      </c>
      <c r="C56" s="519" t="s">
        <v>707</v>
      </c>
      <c r="D56" s="447"/>
      <c r="E56" s="428"/>
      <c r="F56" s="428"/>
      <c r="G56" s="428"/>
      <c r="H56" s="428"/>
      <c r="I56" s="428"/>
      <c r="J56" s="648"/>
      <c r="K56" s="648"/>
      <c r="L56" s="648"/>
      <c r="M56" s="648"/>
      <c r="N56" s="648"/>
    </row>
    <row r="57" spans="2:14" s="404" customFormat="1" x14ac:dyDescent="0.3">
      <c r="B57" s="408">
        <v>3</v>
      </c>
      <c r="C57" s="519" t="s">
        <v>741</v>
      </c>
      <c r="D57" s="447"/>
      <c r="E57" s="428"/>
      <c r="F57" s="428"/>
      <c r="G57" s="428"/>
      <c r="H57" s="428"/>
      <c r="I57" s="428"/>
      <c r="J57" s="648"/>
      <c r="K57" s="648"/>
      <c r="L57" s="648"/>
      <c r="M57" s="648"/>
      <c r="N57" s="648"/>
    </row>
    <row r="58" spans="2:14" s="404" customFormat="1" ht="16" x14ac:dyDescent="0.3">
      <c r="B58" s="408">
        <v>3</v>
      </c>
      <c r="C58" s="519" t="s">
        <v>329</v>
      </c>
      <c r="D58" s="1219">
        <v>20</v>
      </c>
      <c r="E58" s="428">
        <f>SUM('F2.2'!S116:S118)/365*$D58</f>
        <v>37.839670398952663</v>
      </c>
      <c r="F58" s="428">
        <f>SUM('F2.2'!T116:T118)/365*$D58</f>
        <v>39.730167455565024</v>
      </c>
      <c r="G58" s="428">
        <f>SUM('F2.2'!U116:U118)/366*$D58</f>
        <v>41.602695839741259</v>
      </c>
      <c r="H58" s="428">
        <f>SUM('F2.2'!V116:V118)/365*$D58</f>
        <v>43.802509619760457</v>
      </c>
      <c r="I58" s="428">
        <f>SUM('F2.2'!W116:W118)/365*$D58</f>
        <v>45.99263510074848</v>
      </c>
      <c r="J58" s="648"/>
      <c r="K58" s="648"/>
      <c r="L58" s="648"/>
      <c r="M58" s="648"/>
      <c r="N58" s="648"/>
    </row>
    <row r="59" spans="2:14" s="404" customFormat="1" ht="16" x14ac:dyDescent="0.3">
      <c r="B59" s="408">
        <f>B58+1</f>
        <v>4</v>
      </c>
      <c r="C59" s="519" t="s">
        <v>332</v>
      </c>
      <c r="D59" s="1219">
        <v>30</v>
      </c>
      <c r="E59" s="428">
        <f>SUM('F2.2'!S116:S118)/365*$D59</f>
        <v>56.759505598428994</v>
      </c>
      <c r="F59" s="428">
        <f>SUM('F2.2'!T116:T118)/365*$D59</f>
        <v>59.595251183347543</v>
      </c>
      <c r="G59" s="428">
        <f>SUM('F2.2'!U116:U118)/366*$D59</f>
        <v>62.404043759611881</v>
      </c>
      <c r="H59" s="428">
        <f>SUM('F2.2'!V116:V118)/365*$D59</f>
        <v>65.703764429640685</v>
      </c>
      <c r="I59" s="428">
        <f>SUM('F2.2'!W116:W118)/365*$D59</f>
        <v>68.988952651122716</v>
      </c>
      <c r="J59" s="648"/>
      <c r="K59" s="648"/>
      <c r="L59" s="648"/>
      <c r="M59" s="648"/>
      <c r="N59" s="648"/>
    </row>
    <row r="60" spans="2:14" s="404" customFormat="1" ht="16" x14ac:dyDescent="0.3">
      <c r="B60" s="408">
        <f t="shared" ref="B60:B74" si="5">B59+1</f>
        <v>5</v>
      </c>
      <c r="C60" s="86" t="s">
        <v>330</v>
      </c>
      <c r="D60" s="1219"/>
      <c r="E60" s="428"/>
      <c r="F60" s="428"/>
      <c r="G60" s="428"/>
      <c r="H60" s="428"/>
      <c r="I60" s="428"/>
      <c r="J60" s="648"/>
      <c r="K60" s="648"/>
      <c r="L60" s="648"/>
      <c r="M60" s="648"/>
      <c r="N60" s="648"/>
    </row>
    <row r="61" spans="2:14" s="404" customFormat="1" ht="16" x14ac:dyDescent="0.3">
      <c r="B61" s="408">
        <f t="shared" si="5"/>
        <v>6</v>
      </c>
      <c r="C61" s="86" t="s">
        <v>331</v>
      </c>
      <c r="D61" s="1220">
        <v>2</v>
      </c>
      <c r="E61" s="428">
        <f>SUM('F2.2'!S121:S124)/12*$D$61</f>
        <v>2.2853726400439247</v>
      </c>
      <c r="F61" s="428">
        <f>SUM('F2.2'!T121:T124)/12*$D$61</f>
        <v>2.3996412720461211</v>
      </c>
      <c r="G61" s="428">
        <f>SUM('F2.2'!U121:U124)/12*$D$61</f>
        <v>2.5196233356484279</v>
      </c>
      <c r="H61" s="428">
        <f>SUM('F2.2'!V121:V124)/12*$D$61</f>
        <v>2.645604502430849</v>
      </c>
      <c r="I61" s="428">
        <f>SUM('F2.2'!W121:W124)/12*$D$61</f>
        <v>2.7778847275523919</v>
      </c>
      <c r="J61" s="648"/>
      <c r="K61" s="648"/>
      <c r="L61" s="648"/>
      <c r="M61" s="648"/>
      <c r="N61" s="648"/>
    </row>
    <row r="62" spans="2:14" s="404" customFormat="1" ht="16" x14ac:dyDescent="0.3">
      <c r="B62" s="408">
        <f t="shared" si="5"/>
        <v>7</v>
      </c>
      <c r="C62" s="86" t="s">
        <v>147</v>
      </c>
      <c r="D62" s="4"/>
      <c r="E62" s="428"/>
      <c r="F62" s="428"/>
      <c r="G62" s="428"/>
      <c r="H62" s="428"/>
      <c r="I62" s="428"/>
      <c r="J62" s="648"/>
      <c r="K62" s="648"/>
      <c r="L62" s="648"/>
      <c r="M62" s="648"/>
      <c r="N62" s="648"/>
    </row>
    <row r="63" spans="2:14" s="404" customFormat="1" ht="16" x14ac:dyDescent="0.3">
      <c r="B63" s="408">
        <f t="shared" si="5"/>
        <v>8</v>
      </c>
      <c r="C63" s="86" t="s">
        <v>148</v>
      </c>
      <c r="D63" s="4"/>
      <c r="E63" s="428"/>
      <c r="F63" s="428"/>
      <c r="G63" s="428"/>
      <c r="H63" s="428"/>
      <c r="I63" s="428"/>
      <c r="J63" s="648"/>
      <c r="K63" s="648"/>
      <c r="L63" s="648"/>
      <c r="M63" s="648"/>
      <c r="N63" s="648"/>
    </row>
    <row r="64" spans="2:14" s="404" customFormat="1" ht="16" x14ac:dyDescent="0.3">
      <c r="B64" s="408">
        <f t="shared" si="5"/>
        <v>9</v>
      </c>
      <c r="C64" s="86" t="s">
        <v>149</v>
      </c>
      <c r="D64" s="4"/>
      <c r="E64" s="428"/>
      <c r="F64" s="428"/>
      <c r="G64" s="428"/>
      <c r="H64" s="428"/>
      <c r="I64" s="428"/>
      <c r="J64" s="648"/>
      <c r="K64" s="648"/>
      <c r="L64" s="648"/>
      <c r="M64" s="648"/>
      <c r="N64" s="648"/>
    </row>
    <row r="65" spans="2:19" s="404" customFormat="1" x14ac:dyDescent="0.3">
      <c r="B65" s="408">
        <f t="shared" si="5"/>
        <v>10</v>
      </c>
      <c r="C65" s="519" t="s">
        <v>174</v>
      </c>
      <c r="D65" s="1221">
        <v>1</v>
      </c>
      <c r="E65" s="428">
        <f>('F1'!S13+'F1'!S21)/12*$D$65</f>
        <v>13.918466678090091</v>
      </c>
      <c r="F65" s="428">
        <f>('F1'!T13+'F1'!T21)/12*$D$65</f>
        <v>14.548723587912541</v>
      </c>
      <c r="G65" s="428">
        <f>('F1'!U13+'F1'!U21)/12*$D$65</f>
        <v>21.472010040443731</v>
      </c>
      <c r="H65" s="428">
        <f>('F1'!V13+'F1'!V21)/12*$D$65</f>
        <v>22.289590296576336</v>
      </c>
      <c r="I65" s="428">
        <f>('F1'!W13+'F1'!W21)/12*$D$65</f>
        <v>23.214531451284326</v>
      </c>
      <c r="J65" s="648"/>
      <c r="K65" s="648"/>
      <c r="L65" s="648"/>
      <c r="M65" s="648"/>
      <c r="N65" s="648"/>
    </row>
    <row r="66" spans="2:19" s="404" customFormat="1" x14ac:dyDescent="0.3">
      <c r="B66" s="408">
        <f t="shared" si="5"/>
        <v>11</v>
      </c>
      <c r="C66" s="519" t="s">
        <v>150</v>
      </c>
      <c r="D66" s="1222">
        <v>0.01</v>
      </c>
      <c r="E66" s="428">
        <f>'F3.4'!I23*$D$66</f>
        <v>4.7186749125652065</v>
      </c>
      <c r="F66" s="428">
        <f>'F3.4'!J23*$D$66</f>
        <v>4.7186749125652065</v>
      </c>
      <c r="G66" s="428">
        <f>'F3.4'!K23*$D$66</f>
        <v>5.7136749125652067</v>
      </c>
      <c r="H66" s="428">
        <f>'F3.4'!L23*$D$66</f>
        <v>5.7136749125652067</v>
      </c>
      <c r="I66" s="428">
        <f>'F3.4'!M23*$D$66</f>
        <v>5.7136749125652067</v>
      </c>
      <c r="J66" s="648"/>
      <c r="K66" s="648"/>
      <c r="L66" s="648"/>
      <c r="M66" s="648"/>
      <c r="N66" s="648"/>
    </row>
    <row r="67" spans="2:19" s="404" customFormat="1" x14ac:dyDescent="0.3">
      <c r="B67" s="408">
        <f t="shared" si="5"/>
        <v>12</v>
      </c>
      <c r="C67" s="519" t="s">
        <v>151</v>
      </c>
      <c r="D67" s="1223">
        <v>45</v>
      </c>
      <c r="E67" s="428">
        <f ca="1">'F1'!S27/365*$D$67</f>
        <v>112.87774765575537</v>
      </c>
      <c r="F67" s="428">
        <f ca="1">'F1'!T27/365*$D$67</f>
        <v>119.19321606498158</v>
      </c>
      <c r="G67" s="428">
        <f ca="1">'F1'!U27/366*$D$67</f>
        <v>134.82455948963437</v>
      </c>
      <c r="H67" s="428">
        <f ca="1">'F1'!V27/365*$D$67</f>
        <v>141.23733303109347</v>
      </c>
      <c r="I67" s="428">
        <f ca="1">'F1'!W27/365*$D$67</f>
        <v>147.68043143052481</v>
      </c>
      <c r="J67" s="648"/>
      <c r="K67" s="648"/>
      <c r="L67" s="648"/>
      <c r="M67" s="648"/>
      <c r="N67" s="648"/>
    </row>
    <row r="68" spans="2:19" s="404" customFormat="1" ht="16" x14ac:dyDescent="0.3">
      <c r="B68" s="408">
        <f t="shared" si="5"/>
        <v>13</v>
      </c>
      <c r="C68" s="519" t="s">
        <v>547</v>
      </c>
      <c r="D68" s="1223">
        <v>30</v>
      </c>
      <c r="E68" s="315">
        <f>SUM('F2.2'!S121:S124)/365*$D$68</f>
        <v>1.1270330827613877</v>
      </c>
      <c r="F68" s="315">
        <f>SUM('F2.2'!T121:T124)/365*$D$68</f>
        <v>1.1833847368994572</v>
      </c>
      <c r="G68" s="315">
        <f>SUM('F2.2'!U121:U124)/366*$D$68</f>
        <v>1.2391590175320137</v>
      </c>
      <c r="H68" s="315">
        <f>SUM('F2.2'!V121:V124)/365*$D$68</f>
        <v>1.3046816724316515</v>
      </c>
      <c r="I68" s="315">
        <f>SUM('F2.2'!W121:W124)/365*$D$68</f>
        <v>1.3699157560532345</v>
      </c>
      <c r="J68" s="321"/>
      <c r="K68" s="321"/>
      <c r="L68" s="321"/>
      <c r="M68" s="321"/>
      <c r="N68" s="321"/>
      <c r="O68" s="52"/>
      <c r="P68" s="52"/>
      <c r="Q68" s="52"/>
      <c r="R68" s="52"/>
      <c r="S68" s="52"/>
    </row>
    <row r="69" spans="2:19" s="11" customFormat="1" x14ac:dyDescent="0.3">
      <c r="B69" s="408">
        <f t="shared" si="5"/>
        <v>14</v>
      </c>
      <c r="C69" s="171" t="s">
        <v>152</v>
      </c>
      <c r="D69" s="3"/>
      <c r="E69" s="704">
        <f ca="1">SUM(E58:E67)-E68</f>
        <v>227.27240480107486</v>
      </c>
      <c r="F69" s="704">
        <f t="shared" ref="F69:I69" ca="1" si="6">SUM(F58:F67)-F68</f>
        <v>239.00228973951857</v>
      </c>
      <c r="G69" s="704">
        <f t="shared" ca="1" si="6"/>
        <v>267.29744836011287</v>
      </c>
      <c r="H69" s="704">
        <f t="shared" ca="1" si="6"/>
        <v>280.08779511963536</v>
      </c>
      <c r="I69" s="704">
        <f t="shared" ca="1" si="6"/>
        <v>292.99819451774471</v>
      </c>
      <c r="J69" s="676"/>
      <c r="K69" s="676"/>
      <c r="L69" s="676"/>
      <c r="M69" s="676"/>
      <c r="N69" s="676"/>
    </row>
    <row r="70" spans="2:19" s="11" customFormat="1" x14ac:dyDescent="0.3">
      <c r="B70" s="469"/>
      <c r="C70" s="524"/>
      <c r="D70" s="3"/>
      <c r="E70" s="315"/>
      <c r="F70" s="315"/>
      <c r="G70" s="315"/>
      <c r="H70" s="315"/>
      <c r="I70" s="315"/>
      <c r="J70" s="648"/>
      <c r="K70" s="648"/>
      <c r="L70" s="648"/>
      <c r="M70" s="648"/>
      <c r="N70" s="648"/>
    </row>
    <row r="71" spans="2:19" s="11" customFormat="1" x14ac:dyDescent="0.3">
      <c r="B71" s="408">
        <v>13</v>
      </c>
      <c r="C71" s="173" t="s">
        <v>377</v>
      </c>
      <c r="D71" s="3"/>
      <c r="E71" s="315"/>
      <c r="F71" s="315"/>
      <c r="G71" s="315"/>
      <c r="H71" s="315"/>
      <c r="I71" s="315"/>
      <c r="J71" s="648"/>
      <c r="K71" s="648"/>
      <c r="L71" s="648"/>
      <c r="M71" s="648"/>
      <c r="N71" s="648"/>
    </row>
    <row r="72" spans="2:19" s="2" customFormat="1" x14ac:dyDescent="0.3">
      <c r="B72" s="408">
        <f t="shared" si="5"/>
        <v>14</v>
      </c>
      <c r="C72" s="519" t="s">
        <v>378</v>
      </c>
      <c r="D72" s="3"/>
      <c r="E72" s="1040">
        <v>0.1045</v>
      </c>
      <c r="F72" s="1040">
        <v>0.1045</v>
      </c>
      <c r="G72" s="1040">
        <v>0.1045</v>
      </c>
      <c r="H72" s="1040">
        <v>0.1045</v>
      </c>
      <c r="I72" s="1040">
        <v>0.1045</v>
      </c>
      <c r="J72" s="677"/>
      <c r="K72" s="678"/>
      <c r="L72" s="678"/>
      <c r="M72" s="678"/>
      <c r="N72" s="678"/>
    </row>
    <row r="73" spans="2:19" s="2" customFormat="1" x14ac:dyDescent="0.3">
      <c r="B73" s="236">
        <f t="shared" si="5"/>
        <v>15</v>
      </c>
      <c r="C73" s="171" t="s">
        <v>88</v>
      </c>
      <c r="D73" s="3"/>
      <c r="E73" s="705">
        <f t="shared" ref="E73:I73" ca="1" si="7">E69*E72</f>
        <v>23.74996630171232</v>
      </c>
      <c r="F73" s="705">
        <f t="shared" ca="1" si="7"/>
        <v>24.975739277779692</v>
      </c>
      <c r="G73" s="705">
        <f t="shared" ca="1" si="7"/>
        <v>27.932583353631795</v>
      </c>
      <c r="H73" s="705">
        <f t="shared" ca="1" si="7"/>
        <v>29.269174590001892</v>
      </c>
      <c r="I73" s="705">
        <f t="shared" ca="1" si="7"/>
        <v>30.618311327104319</v>
      </c>
      <c r="J73" s="676"/>
      <c r="K73" s="676"/>
      <c r="L73" s="676"/>
      <c r="M73" s="676"/>
      <c r="N73" s="676"/>
    </row>
    <row r="74" spans="2:19" s="2" customFormat="1" x14ac:dyDescent="0.3">
      <c r="B74" s="236">
        <f t="shared" si="5"/>
        <v>16</v>
      </c>
      <c r="C74" s="171" t="s">
        <v>1051</v>
      </c>
      <c r="D74" s="3"/>
      <c r="E74" s="1041">
        <v>0</v>
      </c>
      <c r="F74" s="1041">
        <v>0</v>
      </c>
      <c r="G74" s="1041">
        <v>0</v>
      </c>
      <c r="H74" s="1041">
        <v>0</v>
      </c>
      <c r="I74" s="1041">
        <v>0</v>
      </c>
      <c r="J74" s="676"/>
      <c r="K74" s="676"/>
      <c r="L74" s="676"/>
      <c r="M74" s="676"/>
      <c r="N74" s="676"/>
    </row>
    <row r="75" spans="2:19" s="1" customFormat="1" x14ac:dyDescent="0.3">
      <c r="B75" s="168"/>
      <c r="C75" s="7"/>
      <c r="D75" s="7"/>
      <c r="E75" s="7"/>
      <c r="F75" s="7"/>
      <c r="G75" s="7"/>
      <c r="H75" s="7"/>
      <c r="I75" s="7"/>
      <c r="J75" s="7"/>
    </row>
    <row r="76" spans="2:19" s="1" customFormat="1" x14ac:dyDescent="0.3">
      <c r="B76" s="91"/>
      <c r="C76" s="1079" t="s">
        <v>1593</v>
      </c>
      <c r="D76" s="45"/>
      <c r="E76" s="45"/>
      <c r="F76" s="11"/>
      <c r="G76" s="11"/>
      <c r="H76" s="11"/>
      <c r="I76" s="11"/>
      <c r="J76" s="7"/>
    </row>
    <row r="77" spans="2:19" s="1" customFormat="1" x14ac:dyDescent="0.3">
      <c r="B77" s="91"/>
      <c r="C77" s="1643" t="s">
        <v>38</v>
      </c>
      <c r="D77" s="1600" t="s">
        <v>923</v>
      </c>
      <c r="E77" s="1076" t="s">
        <v>1067</v>
      </c>
      <c r="F77" s="1076" t="s">
        <v>1068</v>
      </c>
      <c r="G77" s="1076" t="s">
        <v>1069</v>
      </c>
      <c r="H77" s="1076" t="s">
        <v>1070</v>
      </c>
      <c r="I77" s="1076" t="s">
        <v>1071</v>
      </c>
      <c r="J77" s="7"/>
    </row>
    <row r="78" spans="2:19" s="1" customFormat="1" ht="18" customHeight="1" x14ac:dyDescent="0.3">
      <c r="B78" s="91"/>
      <c r="C78" s="1644"/>
      <c r="D78" s="1642"/>
      <c r="E78" s="1076" t="s">
        <v>21</v>
      </c>
      <c r="F78" s="1076" t="s">
        <v>21</v>
      </c>
      <c r="G78" s="1076" t="s">
        <v>21</v>
      </c>
      <c r="H78" s="1076" t="s">
        <v>21</v>
      </c>
      <c r="I78" s="1076" t="s">
        <v>21</v>
      </c>
      <c r="J78" s="7"/>
    </row>
    <row r="79" spans="2:19" x14ac:dyDescent="0.3">
      <c r="C79" s="1080" t="s">
        <v>1594</v>
      </c>
      <c r="D79" s="1087">
        <v>20</v>
      </c>
      <c r="E79" s="343">
        <f>'F2.2'!E198/365*$D79</f>
        <v>0</v>
      </c>
      <c r="F79" s="343">
        <f>'F2.2'!F198/365*$D79</f>
        <v>0</v>
      </c>
      <c r="G79" s="343">
        <f>'F2.2'!G198/365*$D79</f>
        <v>0</v>
      </c>
      <c r="H79" s="343">
        <f>'F2.2'!H198/365*$D79</f>
        <v>0</v>
      </c>
      <c r="I79" s="343">
        <f>'F2.2'!I198/365*$D79</f>
        <v>0</v>
      </c>
    </row>
    <row r="80" spans="2:19" x14ac:dyDescent="0.3">
      <c r="C80" s="1080" t="s">
        <v>1595</v>
      </c>
      <c r="D80" s="1087">
        <v>30</v>
      </c>
      <c r="E80" s="343">
        <f>'F2.2'!E198/365*$D80</f>
        <v>0</v>
      </c>
      <c r="F80" s="343">
        <f>'F2.2'!F198/365*$D80</f>
        <v>0</v>
      </c>
      <c r="G80" s="343">
        <f>'F2.2'!G198/365*$D80</f>
        <v>0</v>
      </c>
      <c r="H80" s="343">
        <f>'F2.2'!H198/365*$D80</f>
        <v>0</v>
      </c>
      <c r="I80" s="343">
        <f>'F2.2'!I198/365*$D80</f>
        <v>0</v>
      </c>
    </row>
    <row r="81" spans="3:9" x14ac:dyDescent="0.3">
      <c r="C81" s="1080" t="s">
        <v>1596</v>
      </c>
      <c r="D81" s="1088">
        <v>1</v>
      </c>
      <c r="E81" s="343">
        <f>'F3'!E24/12*$D81</f>
        <v>0</v>
      </c>
      <c r="F81" s="343">
        <f>'F3'!F24/12*$D81</f>
        <v>0</v>
      </c>
      <c r="G81" s="343">
        <f>'F3'!G24/12*$D81</f>
        <v>0</v>
      </c>
      <c r="H81" s="343">
        <f>'F3'!H24/12*$D81</f>
        <v>0</v>
      </c>
      <c r="I81" s="343">
        <f>'F3'!I24/12*$D81</f>
        <v>0</v>
      </c>
    </row>
    <row r="82" spans="3:9" x14ac:dyDescent="0.3">
      <c r="C82" s="1090" t="s">
        <v>1600</v>
      </c>
      <c r="D82" s="1081">
        <v>0.01</v>
      </c>
      <c r="E82" s="343">
        <f>'F3'!E23*$D82</f>
        <v>0</v>
      </c>
      <c r="F82" s="343">
        <f>'F3'!F23*$D82</f>
        <v>0</v>
      </c>
      <c r="G82" s="343">
        <f>'F3'!G23*$D82</f>
        <v>0</v>
      </c>
      <c r="H82" s="343">
        <f>'F3'!H23*$D82</f>
        <v>0</v>
      </c>
      <c r="I82" s="343">
        <f>'F3'!I23*$D82</f>
        <v>0</v>
      </c>
    </row>
    <row r="83" spans="3:9" ht="14.5" x14ac:dyDescent="0.35">
      <c r="C83" s="1082" t="s">
        <v>1597</v>
      </c>
      <c r="D83" s="1083"/>
      <c r="E83" s="1089">
        <f>SUM(E79:E82)</f>
        <v>0</v>
      </c>
      <c r="F83" s="1089">
        <f t="shared" ref="F83:I83" si="8">SUM(F79:F82)</f>
        <v>0</v>
      </c>
      <c r="G83" s="1089">
        <f t="shared" si="8"/>
        <v>0</v>
      </c>
      <c r="H83" s="1089">
        <f t="shared" si="8"/>
        <v>0</v>
      </c>
      <c r="I83" s="1089">
        <f t="shared" si="8"/>
        <v>0</v>
      </c>
    </row>
    <row r="84" spans="3:9" ht="14.5" x14ac:dyDescent="0.35">
      <c r="C84" s="1084" t="s">
        <v>1598</v>
      </c>
      <c r="D84" s="1085" t="s">
        <v>100</v>
      </c>
      <c r="E84" s="1091">
        <f>E72</f>
        <v>0.1045</v>
      </c>
      <c r="F84" s="1091">
        <f t="shared" ref="F84:I84" si="9">F72</f>
        <v>0.1045</v>
      </c>
      <c r="G84" s="1091">
        <f t="shared" si="9"/>
        <v>0.1045</v>
      </c>
      <c r="H84" s="1091">
        <f t="shared" si="9"/>
        <v>0.1045</v>
      </c>
      <c r="I84" s="1091">
        <f t="shared" si="9"/>
        <v>0.1045</v>
      </c>
    </row>
    <row r="85" spans="3:9" ht="14.5" x14ac:dyDescent="0.35">
      <c r="C85" s="1084" t="s">
        <v>1599</v>
      </c>
      <c r="D85" s="1086"/>
      <c r="E85" s="1092">
        <f>E83*E84</f>
        <v>0</v>
      </c>
      <c r="F85" s="1092">
        <f t="shared" ref="F85:I85" si="10">F83*F84</f>
        <v>0</v>
      </c>
      <c r="G85" s="1092">
        <f t="shared" si="10"/>
        <v>0</v>
      </c>
      <c r="H85" s="1092">
        <f t="shared" si="10"/>
        <v>0</v>
      </c>
      <c r="I85" s="1092">
        <f t="shared" si="10"/>
        <v>0</v>
      </c>
    </row>
    <row r="86" spans="3:9" x14ac:dyDescent="0.3">
      <c r="C86" s="9"/>
      <c r="D86" s="9"/>
      <c r="E86" s="9"/>
      <c r="F86" s="9"/>
      <c r="G86" s="9"/>
      <c r="H86" s="9"/>
      <c r="I86" s="9"/>
    </row>
    <row r="87" spans="3:9" x14ac:dyDescent="0.3">
      <c r="C87" s="9"/>
      <c r="D87" s="9"/>
      <c r="E87" s="9"/>
      <c r="F87" s="9"/>
      <c r="G87" s="9"/>
      <c r="H87" s="9"/>
      <c r="I87" s="9"/>
    </row>
    <row r="99" spans="2:7" x14ac:dyDescent="0.3">
      <c r="B99" s="1264" t="s">
        <v>145</v>
      </c>
      <c r="C99" s="830"/>
      <c r="D99" s="830"/>
      <c r="E99" s="830"/>
      <c r="F99" s="830"/>
      <c r="G99" s="830"/>
    </row>
    <row r="100" spans="2:7" x14ac:dyDescent="0.3">
      <c r="B100" s="91">
        <v>1</v>
      </c>
      <c r="C100" s="1" t="s">
        <v>154</v>
      </c>
      <c r="D100" s="1263"/>
      <c r="E100" s="1263"/>
      <c r="F100" s="1"/>
      <c r="G100" s="1"/>
    </row>
    <row r="101" spans="2:7" x14ac:dyDescent="0.3">
      <c r="B101" s="91">
        <v>2</v>
      </c>
      <c r="C101" s="1" t="s">
        <v>155</v>
      </c>
      <c r="D101" s="1263"/>
      <c r="E101" s="1263"/>
      <c r="F101" s="1"/>
      <c r="G101" s="1"/>
    </row>
    <row r="102" spans="2:7" x14ac:dyDescent="0.3">
      <c r="B102" s="91">
        <v>3</v>
      </c>
      <c r="C102" s="1" t="s">
        <v>156</v>
      </c>
      <c r="D102" s="1"/>
      <c r="E102" s="1"/>
      <c r="F102" s="1"/>
      <c r="G102" s="1"/>
    </row>
    <row r="103" spans="2:7" x14ac:dyDescent="0.3">
      <c r="B103" s="1265">
        <v>4</v>
      </c>
      <c r="C103" s="830" t="s">
        <v>1693</v>
      </c>
      <c r="D103" s="830"/>
      <c r="E103" s="830"/>
      <c r="F103" s="830"/>
      <c r="G103" s="830"/>
    </row>
    <row r="104" spans="2:7" x14ac:dyDescent="0.3">
      <c r="B104" s="1265">
        <v>5</v>
      </c>
      <c r="C104" s="830" t="s">
        <v>452</v>
      </c>
      <c r="D104" s="830"/>
      <c r="E104" s="830"/>
      <c r="F104" s="830"/>
      <c r="G104" s="830"/>
    </row>
  </sheetData>
  <mergeCells count="14">
    <mergeCell ref="G8:H8"/>
    <mergeCell ref="I8:J8"/>
    <mergeCell ref="B2:F2"/>
    <mergeCell ref="B3:F3"/>
    <mergeCell ref="B4:F4"/>
    <mergeCell ref="E8:F8"/>
    <mergeCell ref="B8:B9"/>
    <mergeCell ref="C8:C9"/>
    <mergeCell ref="D8:D9"/>
    <mergeCell ref="C77:C78"/>
    <mergeCell ref="D77:D78"/>
    <mergeCell ref="B47:B48"/>
    <mergeCell ref="C47:C48"/>
    <mergeCell ref="D47:D48"/>
  </mergeCells>
  <pageMargins left="0.74803149606299213" right="0.74803149606299213" top="0.98425196850393704" bottom="0.98425196850393704" header="0.51181102362204722" footer="0.51181102362204722"/>
  <pageSetup paperSize="9" scale="62" fitToHeight="0" orientation="landscape" r:id="rId1"/>
  <headerFooter alignWithMargins="0"/>
  <rowBreaks count="1" manualBreakCount="1">
    <brk id="36"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2:T24"/>
  <sheetViews>
    <sheetView showGridLines="0" view="pageBreakPreview" zoomScale="80" zoomScaleNormal="75" zoomScaleSheetLayoutView="80" workbookViewId="0">
      <selection activeCell="C17" sqref="C17"/>
    </sheetView>
  </sheetViews>
  <sheetFormatPr defaultColWidth="9.36328125" defaultRowHeight="14" x14ac:dyDescent="0.3"/>
  <cols>
    <col min="1" max="1" width="4.36328125" style="5" customWidth="1"/>
    <col min="2" max="2" width="6.36328125" style="5" customWidth="1"/>
    <col min="3" max="3" width="44.6328125" style="5" customWidth="1"/>
    <col min="4" max="4" width="6.36328125" style="46" bestFit="1" customWidth="1"/>
    <col min="5" max="5" width="7" style="46" bestFit="1" customWidth="1"/>
    <col min="6" max="7" width="15.6328125" style="46" customWidth="1"/>
    <col min="8" max="8" width="7" style="46" bestFit="1" customWidth="1"/>
    <col min="9" max="10" width="15.6328125" style="46" customWidth="1"/>
    <col min="11" max="11" width="7" style="5" bestFit="1" customWidth="1"/>
    <col min="12" max="14" width="15.6328125" style="5" customWidth="1"/>
    <col min="15" max="19" width="5.90625" style="5" bestFit="1" customWidth="1"/>
    <col min="20" max="20" width="9.54296875" style="5" bestFit="1" customWidth="1"/>
    <col min="21" max="16384" width="9.36328125" style="5"/>
  </cols>
  <sheetData>
    <row r="2" spans="2:20" x14ac:dyDescent="0.3">
      <c r="B2" s="1598" t="str">
        <f>Index!B2</f>
        <v xml:space="preserve">      Maharashtra State Power Generation Company Ltd.</v>
      </c>
      <c r="C2" s="1598"/>
      <c r="D2" s="1598"/>
      <c r="E2" s="1598"/>
      <c r="F2" s="1598"/>
      <c r="G2" s="1598"/>
      <c r="H2" s="1598"/>
      <c r="I2" s="1598"/>
      <c r="J2" s="1598"/>
      <c r="K2" s="1638" t="str">
        <f>B2</f>
        <v xml:space="preserve">      Maharashtra State Power Generation Company Ltd.</v>
      </c>
      <c r="L2" s="1638"/>
      <c r="M2" s="1638"/>
      <c r="N2" s="1638"/>
      <c r="O2" s="1638"/>
      <c r="P2" s="1638"/>
      <c r="Q2" s="1638"/>
      <c r="R2" s="1638"/>
      <c r="S2" s="1638"/>
      <c r="T2" s="1638"/>
    </row>
    <row r="3" spans="2:20" x14ac:dyDescent="0.3">
      <c r="B3" s="1598" t="str">
        <f>Index!B3</f>
        <v>MYT Petition Formats for Bhusawal Unit 3</v>
      </c>
      <c r="C3" s="1598"/>
      <c r="D3" s="1598"/>
      <c r="E3" s="1598"/>
      <c r="F3" s="1598"/>
      <c r="G3" s="1598"/>
      <c r="H3" s="1598"/>
      <c r="I3" s="1598"/>
      <c r="J3" s="1598"/>
      <c r="K3" s="1638" t="str">
        <f>B3</f>
        <v>MYT Petition Formats for Bhusawal Unit 3</v>
      </c>
      <c r="L3" s="1638"/>
      <c r="M3" s="1638"/>
      <c r="N3" s="1638"/>
      <c r="O3" s="1638"/>
      <c r="P3" s="1638"/>
      <c r="Q3" s="1638"/>
      <c r="R3" s="1638"/>
      <c r="S3" s="1638"/>
      <c r="T3" s="1638"/>
    </row>
    <row r="4" spans="2:20" x14ac:dyDescent="0.3">
      <c r="B4" s="1598" t="s">
        <v>385</v>
      </c>
      <c r="C4" s="1598"/>
      <c r="D4" s="1598"/>
      <c r="E4" s="1598"/>
      <c r="F4" s="1598"/>
      <c r="G4" s="1598"/>
      <c r="H4" s="1598"/>
      <c r="I4" s="1598"/>
      <c r="J4" s="1598"/>
      <c r="K4" s="1638" t="str">
        <f>B4</f>
        <v>Form 2.5: Operational Parameters - Hydel Generation</v>
      </c>
      <c r="L4" s="1638"/>
      <c r="M4" s="1638"/>
      <c r="N4" s="1638"/>
      <c r="O4" s="1638"/>
      <c r="P4" s="1638"/>
      <c r="Q4" s="1638"/>
      <c r="R4" s="1638"/>
      <c r="S4" s="1638"/>
      <c r="T4" s="1638"/>
    </row>
    <row r="5" spans="2:20" x14ac:dyDescent="0.3">
      <c r="B5" s="1598"/>
      <c r="C5" s="1649"/>
      <c r="D5" s="1649"/>
      <c r="E5" s="1649"/>
      <c r="F5" s="1649"/>
      <c r="G5" s="1649"/>
      <c r="H5" s="1649"/>
      <c r="I5" s="1649"/>
      <c r="J5" s="1649"/>
      <c r="K5" s="1649"/>
      <c r="L5" s="1649"/>
      <c r="M5" s="1649"/>
      <c r="N5" s="1649"/>
      <c r="O5" s="1649"/>
      <c r="P5" s="1649"/>
      <c r="Q5" s="1649"/>
      <c r="R5" s="1649"/>
      <c r="S5" s="1649"/>
      <c r="T5" s="1649"/>
    </row>
    <row r="6" spans="2:20" x14ac:dyDescent="0.3">
      <c r="B6" s="129"/>
      <c r="C6" s="128"/>
      <c r="D6" s="128"/>
      <c r="E6" s="222"/>
      <c r="F6" s="222"/>
      <c r="G6" s="222"/>
      <c r="H6" s="283"/>
      <c r="I6" s="283"/>
      <c r="J6" s="283"/>
      <c r="K6" s="199"/>
      <c r="L6" s="128"/>
      <c r="M6" s="128"/>
      <c r="N6" s="128"/>
      <c r="O6" s="641"/>
      <c r="P6" s="641"/>
      <c r="Q6" s="641"/>
      <c r="R6" s="641"/>
      <c r="S6" s="641"/>
      <c r="T6" s="128"/>
    </row>
    <row r="7" spans="2:20" s="14" customFormat="1" x14ac:dyDescent="0.3">
      <c r="B7" s="33"/>
      <c r="C7" s="8"/>
      <c r="D7" s="34"/>
      <c r="E7" s="34"/>
      <c r="F7" s="34"/>
      <c r="G7" s="34"/>
      <c r="H7" s="34"/>
      <c r="I7" s="34"/>
      <c r="J7" s="34"/>
      <c r="K7" s="16"/>
      <c r="L7" s="16"/>
      <c r="M7" s="16"/>
      <c r="N7" s="33"/>
      <c r="O7" s="33"/>
      <c r="P7" s="33"/>
      <c r="Q7" s="33"/>
      <c r="R7" s="33"/>
      <c r="S7" s="33"/>
      <c r="T7" s="16"/>
    </row>
    <row r="8" spans="2:20" s="35" customFormat="1" ht="13.75" customHeight="1" x14ac:dyDescent="0.3">
      <c r="B8" s="1593" t="s">
        <v>340</v>
      </c>
      <c r="C8" s="1650" t="s">
        <v>38</v>
      </c>
      <c r="D8" s="1650" t="s">
        <v>95</v>
      </c>
      <c r="E8" s="1595" t="s">
        <v>505</v>
      </c>
      <c r="F8" s="1596"/>
      <c r="G8" s="1597"/>
      <c r="H8" s="1595" t="s">
        <v>506</v>
      </c>
      <c r="I8" s="1596"/>
      <c r="J8" s="1597"/>
      <c r="K8" s="1595" t="s">
        <v>507</v>
      </c>
      <c r="L8" s="1596"/>
      <c r="M8" s="1596"/>
      <c r="N8" s="1596"/>
      <c r="O8" s="1630" t="s">
        <v>1066</v>
      </c>
      <c r="P8" s="1630"/>
      <c r="Q8" s="1630"/>
      <c r="R8" s="1630"/>
      <c r="S8" s="1630"/>
      <c r="T8" s="1593" t="s">
        <v>28</v>
      </c>
    </row>
    <row r="9" spans="2:20" s="36" customFormat="1" ht="30" customHeight="1" x14ac:dyDescent="0.25">
      <c r="B9" s="1650"/>
      <c r="C9" s="1650"/>
      <c r="D9" s="1650"/>
      <c r="E9" s="365" t="s">
        <v>814</v>
      </c>
      <c r="F9" s="287" t="s">
        <v>80</v>
      </c>
      <c r="G9" s="287" t="s">
        <v>449</v>
      </c>
      <c r="H9" s="365" t="s">
        <v>1072</v>
      </c>
      <c r="I9" s="287" t="s">
        <v>80</v>
      </c>
      <c r="J9" s="287" t="s">
        <v>449</v>
      </c>
      <c r="K9" s="365" t="s">
        <v>1072</v>
      </c>
      <c r="L9" s="287" t="s">
        <v>443</v>
      </c>
      <c r="M9" s="287" t="s">
        <v>447</v>
      </c>
      <c r="N9" s="287" t="s">
        <v>81</v>
      </c>
      <c r="O9" s="646" t="s">
        <v>1067</v>
      </c>
      <c r="P9" s="646" t="s">
        <v>1068</v>
      </c>
      <c r="Q9" s="646" t="s">
        <v>1069</v>
      </c>
      <c r="R9" s="646" t="s">
        <v>1070</v>
      </c>
      <c r="S9" s="646" t="s">
        <v>1071</v>
      </c>
      <c r="T9" s="1593"/>
    </row>
    <row r="10" spans="2:20" s="36" customFormat="1" ht="20" customHeight="1" x14ac:dyDescent="0.25">
      <c r="B10" s="1640"/>
      <c r="C10" s="1640"/>
      <c r="D10" s="1640"/>
      <c r="E10" s="287" t="s">
        <v>82</v>
      </c>
      <c r="F10" s="287" t="s">
        <v>83</v>
      </c>
      <c r="G10" s="287" t="s">
        <v>675</v>
      </c>
      <c r="H10" s="287" t="s">
        <v>391</v>
      </c>
      <c r="I10" s="287" t="s">
        <v>409</v>
      </c>
      <c r="J10" s="287" t="s">
        <v>454</v>
      </c>
      <c r="K10" s="287" t="s">
        <v>653</v>
      </c>
      <c r="L10" s="287" t="s">
        <v>589</v>
      </c>
      <c r="M10" s="287" t="s">
        <v>590</v>
      </c>
      <c r="N10" s="287" t="s">
        <v>677</v>
      </c>
      <c r="O10" s="638" t="s">
        <v>21</v>
      </c>
      <c r="P10" s="638" t="s">
        <v>21</v>
      </c>
      <c r="Q10" s="638" t="s">
        <v>21</v>
      </c>
      <c r="R10" s="638" t="s">
        <v>21</v>
      </c>
      <c r="S10" s="638" t="s">
        <v>21</v>
      </c>
      <c r="T10" s="1594"/>
    </row>
    <row r="11" spans="2:20" s="36" customFormat="1" ht="42" customHeight="1" x14ac:dyDescent="0.25">
      <c r="B11" s="39">
        <v>1</v>
      </c>
      <c r="C11" s="137" t="s">
        <v>96</v>
      </c>
      <c r="D11" s="138"/>
      <c r="E11" s="1651" t="s">
        <v>772</v>
      </c>
      <c r="F11" s="1652"/>
      <c r="G11" s="1652"/>
      <c r="H11" s="1652"/>
      <c r="I11" s="1652"/>
      <c r="J11" s="1652"/>
      <c r="K11" s="1652" t="str">
        <f>E11</f>
        <v>Not Applicable for Thermal Power Plant</v>
      </c>
      <c r="L11" s="1652"/>
      <c r="M11" s="1652"/>
      <c r="N11" s="1652"/>
      <c r="O11" s="1652"/>
      <c r="P11" s="1652"/>
      <c r="Q11" s="1652"/>
      <c r="R11" s="1652"/>
      <c r="S11" s="1652"/>
      <c r="T11" s="1657"/>
    </row>
    <row r="12" spans="2:20" s="36" customFormat="1" x14ac:dyDescent="0.25">
      <c r="B12" s="139">
        <v>1.1000000000000001</v>
      </c>
      <c r="C12" s="141" t="s">
        <v>97</v>
      </c>
      <c r="D12" s="139" t="s">
        <v>98</v>
      </c>
      <c r="E12" s="1653"/>
      <c r="F12" s="1654"/>
      <c r="G12" s="1654"/>
      <c r="H12" s="1654"/>
      <c r="I12" s="1654"/>
      <c r="J12" s="1654"/>
      <c r="K12" s="1654"/>
      <c r="L12" s="1654"/>
      <c r="M12" s="1654"/>
      <c r="N12" s="1654"/>
      <c r="O12" s="1654"/>
      <c r="P12" s="1654"/>
      <c r="Q12" s="1654"/>
      <c r="R12" s="1654"/>
      <c r="S12" s="1654"/>
      <c r="T12" s="1658"/>
    </row>
    <row r="13" spans="2:20" s="36" customFormat="1" x14ac:dyDescent="0.25">
      <c r="B13" s="139">
        <v>1.2</v>
      </c>
      <c r="C13" s="140" t="s">
        <v>157</v>
      </c>
      <c r="D13" s="139" t="s">
        <v>100</v>
      </c>
      <c r="E13" s="1653"/>
      <c r="F13" s="1654"/>
      <c r="G13" s="1654"/>
      <c r="H13" s="1654"/>
      <c r="I13" s="1654"/>
      <c r="J13" s="1654"/>
      <c r="K13" s="1654"/>
      <c r="L13" s="1654"/>
      <c r="M13" s="1654"/>
      <c r="N13" s="1654"/>
      <c r="O13" s="1654"/>
      <c r="P13" s="1654"/>
      <c r="Q13" s="1654"/>
      <c r="R13" s="1654"/>
      <c r="S13" s="1654"/>
      <c r="T13" s="1658"/>
    </row>
    <row r="14" spans="2:20" s="36" customFormat="1" x14ac:dyDescent="0.25">
      <c r="B14" s="139">
        <v>1.3</v>
      </c>
      <c r="C14" s="140" t="s">
        <v>320</v>
      </c>
      <c r="D14" s="139" t="s">
        <v>100</v>
      </c>
      <c r="E14" s="1653"/>
      <c r="F14" s="1654"/>
      <c r="G14" s="1654"/>
      <c r="H14" s="1654"/>
      <c r="I14" s="1654"/>
      <c r="J14" s="1654"/>
      <c r="K14" s="1654"/>
      <c r="L14" s="1654"/>
      <c r="M14" s="1654"/>
      <c r="N14" s="1654"/>
      <c r="O14" s="1654"/>
      <c r="P14" s="1654"/>
      <c r="Q14" s="1654"/>
      <c r="R14" s="1654"/>
      <c r="S14" s="1654"/>
      <c r="T14" s="1658"/>
    </row>
    <row r="15" spans="2:20" s="36" customFormat="1" x14ac:dyDescent="0.25">
      <c r="B15" s="139">
        <v>1.4</v>
      </c>
      <c r="C15" s="140" t="s">
        <v>158</v>
      </c>
      <c r="D15" s="139" t="s">
        <v>102</v>
      </c>
      <c r="E15" s="1653"/>
      <c r="F15" s="1654"/>
      <c r="G15" s="1654"/>
      <c r="H15" s="1654"/>
      <c r="I15" s="1654"/>
      <c r="J15" s="1654"/>
      <c r="K15" s="1654"/>
      <c r="L15" s="1654"/>
      <c r="M15" s="1654"/>
      <c r="N15" s="1654"/>
      <c r="O15" s="1654"/>
      <c r="P15" s="1654"/>
      <c r="Q15" s="1654"/>
      <c r="R15" s="1654"/>
      <c r="S15" s="1654"/>
      <c r="T15" s="1658"/>
    </row>
    <row r="16" spans="2:20" s="36" customFormat="1" x14ac:dyDescent="0.25">
      <c r="B16" s="139">
        <v>1.5</v>
      </c>
      <c r="C16" s="146" t="s">
        <v>159</v>
      </c>
      <c r="D16" s="139" t="s">
        <v>102</v>
      </c>
      <c r="E16" s="1653"/>
      <c r="F16" s="1654"/>
      <c r="G16" s="1654"/>
      <c r="H16" s="1654"/>
      <c r="I16" s="1654"/>
      <c r="J16" s="1654"/>
      <c r="K16" s="1654"/>
      <c r="L16" s="1654"/>
      <c r="M16" s="1654"/>
      <c r="N16" s="1654"/>
      <c r="O16" s="1654"/>
      <c r="P16" s="1654"/>
      <c r="Q16" s="1654"/>
      <c r="R16" s="1654"/>
      <c r="S16" s="1654"/>
      <c r="T16" s="1658"/>
    </row>
    <row r="17" spans="2:20" s="36" customFormat="1" x14ac:dyDescent="0.25">
      <c r="B17" s="139">
        <v>1.6</v>
      </c>
      <c r="C17" s="146" t="s">
        <v>160</v>
      </c>
      <c r="D17" s="139" t="s">
        <v>100</v>
      </c>
      <c r="E17" s="1653"/>
      <c r="F17" s="1654"/>
      <c r="G17" s="1654"/>
      <c r="H17" s="1654"/>
      <c r="I17" s="1654"/>
      <c r="J17" s="1654"/>
      <c r="K17" s="1654"/>
      <c r="L17" s="1654"/>
      <c r="M17" s="1654"/>
      <c r="N17" s="1654"/>
      <c r="O17" s="1654"/>
      <c r="P17" s="1654"/>
      <c r="Q17" s="1654"/>
      <c r="R17" s="1654"/>
      <c r="S17" s="1654"/>
      <c r="T17" s="1658"/>
    </row>
    <row r="18" spans="2:20" s="36" customFormat="1" x14ac:dyDescent="0.25">
      <c r="B18" s="139">
        <v>1.7</v>
      </c>
      <c r="C18" s="147" t="s">
        <v>160</v>
      </c>
      <c r="D18" s="139" t="s">
        <v>102</v>
      </c>
      <c r="E18" s="1653"/>
      <c r="F18" s="1654"/>
      <c r="G18" s="1654"/>
      <c r="H18" s="1654"/>
      <c r="I18" s="1654"/>
      <c r="J18" s="1654"/>
      <c r="K18" s="1654"/>
      <c r="L18" s="1654"/>
      <c r="M18" s="1654"/>
      <c r="N18" s="1654"/>
      <c r="O18" s="1654"/>
      <c r="P18" s="1654"/>
      <c r="Q18" s="1654"/>
      <c r="R18" s="1654"/>
      <c r="S18" s="1654"/>
      <c r="T18" s="1658"/>
    </row>
    <row r="19" spans="2:20" s="36" customFormat="1" x14ac:dyDescent="0.25">
      <c r="B19" s="90">
        <v>1.8</v>
      </c>
      <c r="C19" s="146" t="s">
        <v>103</v>
      </c>
      <c r="D19" s="139" t="s">
        <v>102</v>
      </c>
      <c r="E19" s="1653"/>
      <c r="F19" s="1654"/>
      <c r="G19" s="1654"/>
      <c r="H19" s="1654"/>
      <c r="I19" s="1654"/>
      <c r="J19" s="1654"/>
      <c r="K19" s="1654"/>
      <c r="L19" s="1654"/>
      <c r="M19" s="1654"/>
      <c r="N19" s="1654"/>
      <c r="O19" s="1654"/>
      <c r="P19" s="1654"/>
      <c r="Q19" s="1654"/>
      <c r="R19" s="1654"/>
      <c r="S19" s="1654"/>
      <c r="T19" s="1658"/>
    </row>
    <row r="20" spans="2:20" s="1" customFormat="1" x14ac:dyDescent="0.3">
      <c r="B20" s="90"/>
      <c r="C20" s="146"/>
      <c r="D20" s="139"/>
      <c r="E20" s="1653"/>
      <c r="F20" s="1654"/>
      <c r="G20" s="1654"/>
      <c r="H20" s="1654"/>
      <c r="I20" s="1654"/>
      <c r="J20" s="1654"/>
      <c r="K20" s="1654"/>
      <c r="L20" s="1654"/>
      <c r="M20" s="1654"/>
      <c r="N20" s="1654"/>
      <c r="O20" s="1654"/>
      <c r="P20" s="1654"/>
      <c r="Q20" s="1654"/>
      <c r="R20" s="1654"/>
      <c r="S20" s="1654"/>
      <c r="T20" s="1658"/>
    </row>
    <row r="21" spans="2:20" s="1" customFormat="1" x14ac:dyDescent="0.3">
      <c r="B21" s="175">
        <v>2</v>
      </c>
      <c r="C21" s="1032" t="s">
        <v>1572</v>
      </c>
      <c r="D21" s="1033" t="s">
        <v>1573</v>
      </c>
      <c r="E21" s="1653"/>
      <c r="F21" s="1654"/>
      <c r="G21" s="1654"/>
      <c r="H21" s="1654"/>
      <c r="I21" s="1654"/>
      <c r="J21" s="1654"/>
      <c r="K21" s="1654"/>
      <c r="L21" s="1654"/>
      <c r="M21" s="1654"/>
      <c r="N21" s="1654"/>
      <c r="O21" s="1654"/>
      <c r="P21" s="1654"/>
      <c r="Q21" s="1654"/>
      <c r="R21" s="1654"/>
      <c r="S21" s="1654"/>
      <c r="T21" s="1658"/>
    </row>
    <row r="22" spans="2:20" s="1" customFormat="1" x14ac:dyDescent="0.3">
      <c r="B22" s="175"/>
      <c r="C22" s="1032"/>
      <c r="D22" s="1033"/>
      <c r="E22" s="1653"/>
      <c r="F22" s="1654"/>
      <c r="G22" s="1654"/>
      <c r="H22" s="1654"/>
      <c r="I22" s="1654"/>
      <c r="J22" s="1654"/>
      <c r="K22" s="1654"/>
      <c r="L22" s="1654"/>
      <c r="M22" s="1654"/>
      <c r="N22" s="1654"/>
      <c r="O22" s="1654"/>
      <c r="P22" s="1654"/>
      <c r="Q22" s="1654"/>
      <c r="R22" s="1654"/>
      <c r="S22" s="1654"/>
      <c r="T22" s="1658"/>
    </row>
    <row r="23" spans="2:20" s="1" customFormat="1" x14ac:dyDescent="0.3">
      <c r="B23" s="175">
        <v>3</v>
      </c>
      <c r="C23" s="1032" t="s">
        <v>1574</v>
      </c>
      <c r="D23" s="139"/>
      <c r="E23" s="1655"/>
      <c r="F23" s="1656"/>
      <c r="G23" s="1656"/>
      <c r="H23" s="1656"/>
      <c r="I23" s="1656"/>
      <c r="J23" s="1656"/>
      <c r="K23" s="1656"/>
      <c r="L23" s="1656"/>
      <c r="M23" s="1656"/>
      <c r="N23" s="1656"/>
      <c r="O23" s="1656"/>
      <c r="P23" s="1656"/>
      <c r="Q23" s="1656"/>
      <c r="R23" s="1656"/>
      <c r="S23" s="1656"/>
      <c r="T23" s="1659"/>
    </row>
    <row r="24" spans="2:20" x14ac:dyDescent="0.3">
      <c r="M24" s="47"/>
    </row>
  </sheetData>
  <mergeCells count="17">
    <mergeCell ref="E11:J23"/>
    <mergeCell ref="K11:T23"/>
    <mergeCell ref="K2:T2"/>
    <mergeCell ref="K3:T3"/>
    <mergeCell ref="K4:T4"/>
    <mergeCell ref="B5:T5"/>
    <mergeCell ref="B8:B10"/>
    <mergeCell ref="C8:C10"/>
    <mergeCell ref="D8:D10"/>
    <mergeCell ref="K8:N8"/>
    <mergeCell ref="E8:G8"/>
    <mergeCell ref="H8:J8"/>
    <mergeCell ref="T8:T10"/>
    <mergeCell ref="B2:J2"/>
    <mergeCell ref="O8:S8"/>
    <mergeCell ref="B3:J3"/>
    <mergeCell ref="B4:J4"/>
  </mergeCells>
  <pageMargins left="0.6692913385826772" right="0.23622047244094491" top="0.98425196850393704" bottom="0.98425196850393704" header="0.51181102362204722" footer="0.51181102362204722"/>
  <pageSetup paperSize="9" scale="60" orientation="landscape" r:id="rId1"/>
  <headerFooter alignWithMargins="0"/>
  <colBreaks count="1" manualBreakCount="1">
    <brk id="10" max="2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U22"/>
  <sheetViews>
    <sheetView showGridLines="0" view="pageBreakPreview" topLeftCell="B7" zoomScale="87" zoomScaleNormal="80" zoomScaleSheetLayoutView="87" workbookViewId="0">
      <selection activeCell="I36" sqref="I36"/>
    </sheetView>
  </sheetViews>
  <sheetFormatPr defaultColWidth="9.36328125" defaultRowHeight="14" x14ac:dyDescent="0.25"/>
  <cols>
    <col min="1" max="1" width="3.36328125" style="85" customWidth="1"/>
    <col min="2" max="2" width="7.6328125" style="85" customWidth="1"/>
    <col min="3" max="3" width="54.54296875" style="85" bestFit="1" customWidth="1"/>
    <col min="4" max="4" width="13" style="85" bestFit="1" customWidth="1"/>
    <col min="5" max="5" width="6.6328125" style="85" bestFit="1" customWidth="1"/>
    <col min="6" max="6" width="15.36328125" style="85" customWidth="1"/>
    <col min="7" max="7" width="12.6328125" style="85" bestFit="1" customWidth="1"/>
    <col min="8" max="8" width="6.6328125" style="85" bestFit="1" customWidth="1"/>
    <col min="9" max="10" width="12.54296875" style="85" bestFit="1" customWidth="1"/>
    <col min="11" max="11" width="6.6328125" style="85" bestFit="1" customWidth="1"/>
    <col min="12" max="12" width="8.6328125" style="85" bestFit="1" customWidth="1"/>
    <col min="13" max="13" width="11.90625" style="85" bestFit="1" customWidth="1"/>
    <col min="14" max="14" width="13.90625" style="85" bestFit="1" customWidth="1"/>
    <col min="15" max="20" width="15.36328125" style="85" customWidth="1"/>
    <col min="21" max="21" width="9.54296875" style="85" bestFit="1" customWidth="1"/>
    <col min="22" max="16384" width="9.36328125" style="85"/>
  </cols>
  <sheetData>
    <row r="2" spans="2:21" x14ac:dyDescent="0.25">
      <c r="B2" s="1598" t="str">
        <f>Index!B2</f>
        <v xml:space="preserve">      Maharashtra State Power Generation Company Ltd.</v>
      </c>
      <c r="C2" s="1598"/>
      <c r="D2" s="1598"/>
      <c r="E2" s="1598"/>
      <c r="F2" s="1598"/>
      <c r="G2" s="1598"/>
      <c r="H2" s="1598"/>
      <c r="I2" s="1598"/>
      <c r="J2" s="1598"/>
      <c r="K2" s="1638" t="str">
        <f>B2</f>
        <v xml:space="preserve">      Maharashtra State Power Generation Company Ltd.</v>
      </c>
      <c r="L2" s="1638"/>
      <c r="M2" s="1638"/>
      <c r="N2" s="1638"/>
      <c r="O2" s="1638"/>
      <c r="P2" s="1638"/>
      <c r="Q2" s="1638"/>
      <c r="R2" s="1638"/>
      <c r="S2" s="1638"/>
      <c r="T2" s="1638"/>
      <c r="U2" s="1638"/>
    </row>
    <row r="3" spans="2:21" x14ac:dyDescent="0.25">
      <c r="B3" s="1598" t="str">
        <f>Index!B3</f>
        <v>MYT Petition Formats for Bhusawal Unit 3</v>
      </c>
      <c r="C3" s="1598"/>
      <c r="D3" s="1598"/>
      <c r="E3" s="1598"/>
      <c r="F3" s="1598"/>
      <c r="G3" s="1598"/>
      <c r="H3" s="1598"/>
      <c r="I3" s="1598"/>
      <c r="J3" s="1598"/>
      <c r="K3" s="1638" t="str">
        <f>B3</f>
        <v>MYT Petition Formats for Bhusawal Unit 3</v>
      </c>
      <c r="L3" s="1638"/>
      <c r="M3" s="1638"/>
      <c r="N3" s="1638"/>
      <c r="O3" s="1638"/>
      <c r="P3" s="1638"/>
      <c r="Q3" s="1638"/>
      <c r="R3" s="1638"/>
      <c r="S3" s="1638"/>
      <c r="T3" s="1638"/>
      <c r="U3" s="1638"/>
    </row>
    <row r="4" spans="2:21" x14ac:dyDescent="0.25">
      <c r="B4" s="1598" t="s">
        <v>457</v>
      </c>
      <c r="C4" s="1598"/>
      <c r="D4" s="1598"/>
      <c r="E4" s="1598"/>
      <c r="F4" s="1598"/>
      <c r="G4" s="1598"/>
      <c r="H4" s="1598"/>
      <c r="I4" s="1598"/>
      <c r="J4" s="1598"/>
      <c r="K4" s="1638" t="str">
        <f>B4</f>
        <v>Form 2.6: Capacity Charge &amp; Energy Charge Rate - Hydel Generation</v>
      </c>
      <c r="L4" s="1638"/>
      <c r="M4" s="1638"/>
      <c r="N4" s="1638"/>
      <c r="O4" s="1638"/>
      <c r="P4" s="1638"/>
      <c r="Q4" s="1638"/>
      <c r="R4" s="1638"/>
      <c r="S4" s="1638"/>
      <c r="T4" s="1638"/>
      <c r="U4" s="1638"/>
    </row>
    <row r="6" spans="2:21" x14ac:dyDescent="0.25">
      <c r="B6" s="149"/>
      <c r="C6" s="150"/>
      <c r="D6" s="151"/>
      <c r="E6" s="151"/>
      <c r="F6" s="151"/>
      <c r="G6" s="151"/>
      <c r="H6" s="151"/>
      <c r="I6" s="151"/>
      <c r="J6" s="151"/>
      <c r="U6" s="21"/>
    </row>
    <row r="7" spans="2:21" ht="13.75" customHeight="1" x14ac:dyDescent="0.25">
      <c r="B7" s="1639" t="s">
        <v>340</v>
      </c>
      <c r="C7" s="1641" t="s">
        <v>38</v>
      </c>
      <c r="D7" s="1641" t="s">
        <v>453</v>
      </c>
      <c r="E7" s="1595" t="s">
        <v>505</v>
      </c>
      <c r="F7" s="1596"/>
      <c r="G7" s="1597"/>
      <c r="H7" s="1595" t="s">
        <v>506</v>
      </c>
      <c r="I7" s="1596"/>
      <c r="J7" s="1597"/>
      <c r="K7" s="1595" t="s">
        <v>507</v>
      </c>
      <c r="L7" s="1596"/>
      <c r="M7" s="1596"/>
      <c r="N7" s="1596"/>
      <c r="O7" s="1597"/>
      <c r="P7" s="1630" t="s">
        <v>1066</v>
      </c>
      <c r="Q7" s="1630"/>
      <c r="R7" s="1630"/>
      <c r="S7" s="1630"/>
      <c r="T7" s="1630"/>
      <c r="U7" s="1593" t="s">
        <v>28</v>
      </c>
    </row>
    <row r="8" spans="2:21" ht="42" x14ac:dyDescent="0.25">
      <c r="B8" s="1639"/>
      <c r="C8" s="1641"/>
      <c r="D8" s="1641"/>
      <c r="E8" s="365" t="s">
        <v>1073</v>
      </c>
      <c r="F8" s="287" t="s">
        <v>80</v>
      </c>
      <c r="G8" s="287" t="s">
        <v>815</v>
      </c>
      <c r="H8" s="365" t="s">
        <v>1073</v>
      </c>
      <c r="I8" s="287" t="s">
        <v>80</v>
      </c>
      <c r="J8" s="365" t="s">
        <v>815</v>
      </c>
      <c r="K8" s="365" t="s">
        <v>1073</v>
      </c>
      <c r="L8" s="287" t="s">
        <v>443</v>
      </c>
      <c r="M8" s="287" t="s">
        <v>447</v>
      </c>
      <c r="N8" s="287" t="s">
        <v>81</v>
      </c>
      <c r="O8" s="287" t="s">
        <v>450</v>
      </c>
      <c r="P8" s="646" t="s">
        <v>1067</v>
      </c>
      <c r="Q8" s="646" t="s">
        <v>1068</v>
      </c>
      <c r="R8" s="646" t="s">
        <v>1069</v>
      </c>
      <c r="S8" s="646" t="s">
        <v>1070</v>
      </c>
      <c r="T8" s="646" t="s">
        <v>1071</v>
      </c>
      <c r="U8" s="1593"/>
    </row>
    <row r="9" spans="2:21" x14ac:dyDescent="0.25">
      <c r="B9" s="1640"/>
      <c r="C9" s="1604"/>
      <c r="D9" s="1604"/>
      <c r="E9" s="287" t="s">
        <v>82</v>
      </c>
      <c r="F9" s="287" t="s">
        <v>83</v>
      </c>
      <c r="G9" s="287" t="s">
        <v>675</v>
      </c>
      <c r="H9" s="287" t="s">
        <v>391</v>
      </c>
      <c r="I9" s="287" t="s">
        <v>409</v>
      </c>
      <c r="J9" s="287" t="s">
        <v>454</v>
      </c>
      <c r="K9" s="287" t="s">
        <v>653</v>
      </c>
      <c r="L9" s="287" t="s">
        <v>589</v>
      </c>
      <c r="M9" s="287" t="s">
        <v>590</v>
      </c>
      <c r="N9" s="287" t="s">
        <v>677</v>
      </c>
      <c r="O9" s="287" t="s">
        <v>678</v>
      </c>
      <c r="P9" s="638" t="s">
        <v>21</v>
      </c>
      <c r="Q9" s="638" t="s">
        <v>21</v>
      </c>
      <c r="R9" s="638" t="s">
        <v>21</v>
      </c>
      <c r="S9" s="638" t="s">
        <v>21</v>
      </c>
      <c r="T9" s="638" t="s">
        <v>21</v>
      </c>
      <c r="U9" s="1594"/>
    </row>
    <row r="10" spans="2:21" s="60" customFormat="1" x14ac:dyDescent="0.25">
      <c r="B10" s="152">
        <v>1</v>
      </c>
      <c r="C10" s="153" t="s">
        <v>456</v>
      </c>
      <c r="D10" s="160" t="s">
        <v>352</v>
      </c>
      <c r="E10" s="1660" t="s">
        <v>772</v>
      </c>
      <c r="F10" s="1661"/>
      <c r="G10" s="1661"/>
      <c r="H10" s="1661"/>
      <c r="I10" s="1661"/>
      <c r="J10" s="1661"/>
      <c r="K10" s="1666" t="str">
        <f>E10</f>
        <v>Not Applicable for Thermal Power Plant</v>
      </c>
      <c r="L10" s="1666"/>
      <c r="M10" s="1666"/>
      <c r="N10" s="1666"/>
      <c r="O10" s="1666"/>
      <c r="P10" s="1666"/>
      <c r="Q10" s="1666"/>
      <c r="R10" s="1666"/>
      <c r="S10" s="1666"/>
      <c r="T10" s="1666"/>
      <c r="U10" s="1667"/>
    </row>
    <row r="11" spans="2:21" s="60" customFormat="1" x14ac:dyDescent="0.25">
      <c r="B11" s="152">
        <f>B10+1</f>
        <v>2</v>
      </c>
      <c r="C11" s="153" t="s">
        <v>419</v>
      </c>
      <c r="D11" s="160" t="s">
        <v>353</v>
      </c>
      <c r="E11" s="1662"/>
      <c r="F11" s="1663"/>
      <c r="G11" s="1663"/>
      <c r="H11" s="1663"/>
      <c r="I11" s="1663"/>
      <c r="J11" s="1663"/>
      <c r="K11" s="1668"/>
      <c r="L11" s="1668"/>
      <c r="M11" s="1668"/>
      <c r="N11" s="1668"/>
      <c r="O11" s="1668"/>
      <c r="P11" s="1668"/>
      <c r="Q11" s="1668"/>
      <c r="R11" s="1668"/>
      <c r="S11" s="1668"/>
      <c r="T11" s="1668"/>
      <c r="U11" s="1669"/>
    </row>
    <row r="12" spans="2:21" s="60" customFormat="1" x14ac:dyDescent="0.25">
      <c r="B12" s="152">
        <f t="shared" ref="B12:B18" si="0">B11+1</f>
        <v>3</v>
      </c>
      <c r="C12" s="153" t="s">
        <v>363</v>
      </c>
      <c r="D12" s="160" t="s">
        <v>357</v>
      </c>
      <c r="E12" s="1662"/>
      <c r="F12" s="1663"/>
      <c r="G12" s="1663"/>
      <c r="H12" s="1663"/>
      <c r="I12" s="1663"/>
      <c r="J12" s="1663"/>
      <c r="K12" s="1668"/>
      <c r="L12" s="1668"/>
      <c r="M12" s="1668"/>
      <c r="N12" s="1668"/>
      <c r="O12" s="1668"/>
      <c r="P12" s="1668"/>
      <c r="Q12" s="1668"/>
      <c r="R12" s="1668"/>
      <c r="S12" s="1668"/>
      <c r="T12" s="1668"/>
      <c r="U12" s="1669"/>
    </row>
    <row r="13" spans="2:21" x14ac:dyDescent="0.25">
      <c r="B13" s="152">
        <f t="shared" si="0"/>
        <v>4</v>
      </c>
      <c r="C13" s="154" t="s">
        <v>458</v>
      </c>
      <c r="D13" s="160" t="s">
        <v>455</v>
      </c>
      <c r="E13" s="1662"/>
      <c r="F13" s="1663"/>
      <c r="G13" s="1663"/>
      <c r="H13" s="1663"/>
      <c r="I13" s="1663"/>
      <c r="J13" s="1663"/>
      <c r="K13" s="1668"/>
      <c r="L13" s="1668"/>
      <c r="M13" s="1668"/>
      <c r="N13" s="1668"/>
      <c r="O13" s="1668"/>
      <c r="P13" s="1668"/>
      <c r="Q13" s="1668"/>
      <c r="R13" s="1668"/>
      <c r="S13" s="1668"/>
      <c r="T13" s="1668"/>
      <c r="U13" s="1669"/>
    </row>
    <row r="14" spans="2:21" x14ac:dyDescent="0.25">
      <c r="B14" s="152"/>
      <c r="C14" s="155"/>
      <c r="D14" s="160"/>
      <c r="E14" s="1662"/>
      <c r="F14" s="1663"/>
      <c r="G14" s="1663"/>
      <c r="H14" s="1663"/>
      <c r="I14" s="1663"/>
      <c r="J14" s="1663"/>
      <c r="K14" s="1668"/>
      <c r="L14" s="1668"/>
      <c r="M14" s="1668"/>
      <c r="N14" s="1668"/>
      <c r="O14" s="1668"/>
      <c r="P14" s="1668"/>
      <c r="Q14" s="1668"/>
      <c r="R14" s="1668"/>
      <c r="S14" s="1668"/>
      <c r="T14" s="1668"/>
      <c r="U14" s="1669"/>
    </row>
    <row r="15" spans="2:21" x14ac:dyDescent="0.25">
      <c r="B15" s="152">
        <v>5</v>
      </c>
      <c r="C15" s="153" t="s">
        <v>364</v>
      </c>
      <c r="D15" s="160" t="s">
        <v>354</v>
      </c>
      <c r="E15" s="1662"/>
      <c r="F15" s="1663"/>
      <c r="G15" s="1663"/>
      <c r="H15" s="1663"/>
      <c r="I15" s="1663"/>
      <c r="J15" s="1663"/>
      <c r="K15" s="1668"/>
      <c r="L15" s="1668"/>
      <c r="M15" s="1668"/>
      <c r="N15" s="1668"/>
      <c r="O15" s="1668"/>
      <c r="P15" s="1668"/>
      <c r="Q15" s="1668"/>
      <c r="R15" s="1668"/>
      <c r="S15" s="1668"/>
      <c r="T15" s="1668"/>
      <c r="U15" s="1669"/>
    </row>
    <row r="16" spans="2:21" s="91" customFormat="1" x14ac:dyDescent="0.25">
      <c r="B16" s="152">
        <f t="shared" si="0"/>
        <v>6</v>
      </c>
      <c r="C16" s="153" t="s">
        <v>365</v>
      </c>
      <c r="D16" s="160" t="s">
        <v>359</v>
      </c>
      <c r="E16" s="1662"/>
      <c r="F16" s="1663"/>
      <c r="G16" s="1663"/>
      <c r="H16" s="1663"/>
      <c r="I16" s="1663"/>
      <c r="J16" s="1663"/>
      <c r="K16" s="1668"/>
      <c r="L16" s="1668"/>
      <c r="M16" s="1668"/>
      <c r="N16" s="1668"/>
      <c r="O16" s="1668"/>
      <c r="P16" s="1668"/>
      <c r="Q16" s="1668"/>
      <c r="R16" s="1668"/>
      <c r="S16" s="1668"/>
      <c r="T16" s="1668"/>
      <c r="U16" s="1669"/>
    </row>
    <row r="17" spans="2:21" s="91" customFormat="1" x14ac:dyDescent="0.25">
      <c r="B17" s="152">
        <f t="shared" si="0"/>
        <v>7</v>
      </c>
      <c r="C17" s="153" t="s">
        <v>366</v>
      </c>
      <c r="D17" s="160" t="s">
        <v>360</v>
      </c>
      <c r="E17" s="1662"/>
      <c r="F17" s="1663"/>
      <c r="G17" s="1663"/>
      <c r="H17" s="1663"/>
      <c r="I17" s="1663"/>
      <c r="J17" s="1663"/>
      <c r="K17" s="1668"/>
      <c r="L17" s="1668"/>
      <c r="M17" s="1668"/>
      <c r="N17" s="1668"/>
      <c r="O17" s="1668"/>
      <c r="P17" s="1668"/>
      <c r="Q17" s="1668"/>
      <c r="R17" s="1668"/>
      <c r="S17" s="1668"/>
      <c r="T17" s="1668"/>
      <c r="U17" s="1669"/>
    </row>
    <row r="18" spans="2:21" s="91" customFormat="1" x14ac:dyDescent="0.25">
      <c r="B18" s="152">
        <f t="shared" si="0"/>
        <v>8</v>
      </c>
      <c r="C18" s="161" t="s">
        <v>367</v>
      </c>
      <c r="D18" s="160" t="s">
        <v>361</v>
      </c>
      <c r="E18" s="1664"/>
      <c r="F18" s="1665"/>
      <c r="G18" s="1665"/>
      <c r="H18" s="1665"/>
      <c r="I18" s="1665"/>
      <c r="J18" s="1665"/>
      <c r="K18" s="1670"/>
      <c r="L18" s="1670"/>
      <c r="M18" s="1670"/>
      <c r="N18" s="1670"/>
      <c r="O18" s="1670"/>
      <c r="P18" s="1670"/>
      <c r="Q18" s="1670"/>
      <c r="R18" s="1670"/>
      <c r="S18" s="1670"/>
      <c r="T18" s="1670"/>
      <c r="U18" s="1671"/>
    </row>
    <row r="19" spans="2:21" s="91" customFormat="1" x14ac:dyDescent="0.25">
      <c r="B19" s="85"/>
      <c r="C19" s="85"/>
    </row>
    <row r="20" spans="2:21" s="91" customFormat="1" x14ac:dyDescent="0.25">
      <c r="B20" s="168"/>
      <c r="C20" s="156"/>
      <c r="D20" s="156"/>
      <c r="E20" s="156"/>
      <c r="F20" s="156"/>
      <c r="G20" s="156"/>
      <c r="H20" s="156"/>
      <c r="I20" s="156"/>
      <c r="J20" s="156"/>
    </row>
    <row r="21" spans="2:21" s="91" customFormat="1" ht="16" x14ac:dyDescent="0.25">
      <c r="B21" s="157"/>
      <c r="C21" s="158"/>
      <c r="D21" s="159"/>
      <c r="E21" s="87"/>
      <c r="F21" s="87"/>
      <c r="G21" s="87"/>
      <c r="H21" s="87"/>
      <c r="I21" s="87"/>
      <c r="J21" s="87"/>
    </row>
    <row r="22" spans="2:21" s="91" customFormat="1" ht="18" customHeight="1" x14ac:dyDescent="0.3">
      <c r="B22" s="7"/>
      <c r="C22" s="157"/>
      <c r="D22" s="157"/>
      <c r="E22" s="157"/>
      <c r="F22" s="157"/>
      <c r="G22" s="157"/>
      <c r="H22" s="157"/>
      <c r="I22" s="157"/>
      <c r="J22" s="157"/>
    </row>
  </sheetData>
  <mergeCells count="16">
    <mergeCell ref="E10:J18"/>
    <mergeCell ref="K10:U18"/>
    <mergeCell ref="U7:U9"/>
    <mergeCell ref="K7:O7"/>
    <mergeCell ref="P7:T7"/>
    <mergeCell ref="B7:B9"/>
    <mergeCell ref="C7:C9"/>
    <mergeCell ref="D7:D9"/>
    <mergeCell ref="E7:G7"/>
    <mergeCell ref="H7:J7"/>
    <mergeCell ref="B2:J2"/>
    <mergeCell ref="B3:J3"/>
    <mergeCell ref="B4:J4"/>
    <mergeCell ref="K2:U2"/>
    <mergeCell ref="K3:U3"/>
    <mergeCell ref="K4:U4"/>
  </mergeCells>
  <pageMargins left="0.74803149606299213" right="0.74803149606299213" top="0.98425196850393704" bottom="0.98425196850393704" header="0.51181102362204722" footer="0.51181102362204722"/>
  <pageSetup paperSize="9" scale="60" orientation="landscape" r:id="rId1"/>
  <headerFooter alignWithMargins="0"/>
  <colBreaks count="1" manualBreakCount="1">
    <brk id="10" max="1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2:N45"/>
  <sheetViews>
    <sheetView showGridLines="0" view="pageBreakPreview" zoomScale="90" zoomScaleNormal="80" zoomScaleSheetLayoutView="90" workbookViewId="0">
      <selection activeCell="E29" sqref="E29:N36"/>
    </sheetView>
  </sheetViews>
  <sheetFormatPr defaultColWidth="9.36328125" defaultRowHeight="14" x14ac:dyDescent="0.3"/>
  <cols>
    <col min="1" max="1" width="3.36328125" style="5" customWidth="1"/>
    <col min="2" max="2" width="8.36328125" style="5" customWidth="1"/>
    <col min="3" max="3" width="43.6328125" style="5" customWidth="1"/>
    <col min="4" max="4" width="7.36328125" style="5" bestFit="1" customWidth="1"/>
    <col min="5" max="5" width="11.08984375" style="5" customWidth="1"/>
    <col min="6" max="6" width="14.6328125" style="5" customWidth="1"/>
    <col min="7" max="7" width="7.90625" style="5" bestFit="1" customWidth="1"/>
    <col min="8" max="8" width="10.90625" style="5" bestFit="1" customWidth="1"/>
    <col min="9" max="9" width="7.90625" style="5" bestFit="1" customWidth="1"/>
    <col min="10" max="10" width="10.90625" style="5" bestFit="1" customWidth="1"/>
    <col min="11" max="11" width="7.90625" style="5" bestFit="1" customWidth="1"/>
    <col min="12" max="12" width="10.90625" style="5" bestFit="1" customWidth="1"/>
    <col min="13" max="13" width="7.90625" style="5" bestFit="1" customWidth="1"/>
    <col min="14" max="14" width="10.90625" style="5" bestFit="1" customWidth="1"/>
    <col min="15" max="16384" width="9.36328125" style="5"/>
  </cols>
  <sheetData>
    <row r="2" spans="2:14" x14ac:dyDescent="0.3">
      <c r="B2" s="1598" t="str">
        <f>Index!B2</f>
        <v xml:space="preserve">      Maharashtra State Power Generation Company Ltd.</v>
      </c>
      <c r="C2" s="1649"/>
      <c r="D2" s="1649"/>
      <c r="E2" s="1649"/>
      <c r="F2" s="1649"/>
      <c r="G2" s="1649"/>
      <c r="H2" s="1649"/>
      <c r="I2" s="1649"/>
      <c r="J2" s="1649"/>
      <c r="K2" s="1649"/>
      <c r="L2" s="1649"/>
      <c r="M2" s="1649"/>
    </row>
    <row r="3" spans="2:14" x14ac:dyDescent="0.3">
      <c r="B3" s="1598" t="str">
        <f>Index!B3</f>
        <v>MYT Petition Formats for Bhusawal Unit 3</v>
      </c>
      <c r="C3" s="1649"/>
      <c r="D3" s="1649"/>
      <c r="E3" s="1649"/>
      <c r="F3" s="1649"/>
      <c r="G3" s="1649"/>
      <c r="H3" s="1649"/>
      <c r="I3" s="1649"/>
      <c r="J3" s="1649"/>
      <c r="K3" s="1649"/>
      <c r="L3" s="1649"/>
      <c r="M3" s="1649"/>
    </row>
    <row r="4" spans="2:14" x14ac:dyDescent="0.3">
      <c r="B4" s="1599" t="s">
        <v>386</v>
      </c>
      <c r="C4" s="1649"/>
      <c r="D4" s="1649"/>
      <c r="E4" s="1649"/>
      <c r="F4" s="1649"/>
      <c r="G4" s="1649"/>
      <c r="H4" s="1649"/>
      <c r="I4" s="1649"/>
      <c r="J4" s="1649"/>
      <c r="K4" s="1649"/>
      <c r="L4" s="1649"/>
      <c r="M4" s="1649"/>
    </row>
    <row r="6" spans="2:14" x14ac:dyDescent="0.3">
      <c r="B6" s="6" t="s">
        <v>1114</v>
      </c>
    </row>
    <row r="7" spans="2:14" x14ac:dyDescent="0.3">
      <c r="B7" s="48"/>
      <c r="C7" s="17"/>
      <c r="D7" s="18"/>
      <c r="E7" s="18"/>
      <c r="F7" s="21" t="s">
        <v>10</v>
      </c>
      <c r="G7" s="18"/>
      <c r="H7" s="18"/>
      <c r="I7" s="18"/>
      <c r="J7" s="18"/>
      <c r="K7" s="18"/>
      <c r="L7" s="18"/>
      <c r="M7" s="18"/>
      <c r="N7" s="18"/>
    </row>
    <row r="8" spans="2:14" s="35" customFormat="1" ht="15.75" customHeight="1" x14ac:dyDescent="0.3">
      <c r="B8" s="1645" t="s">
        <v>340</v>
      </c>
      <c r="C8" s="1647" t="s">
        <v>38</v>
      </c>
      <c r="D8" s="1647" t="s">
        <v>146</v>
      </c>
      <c r="E8" s="1595" t="s">
        <v>505</v>
      </c>
      <c r="F8" s="1597"/>
      <c r="G8" s="1647" t="s">
        <v>146</v>
      </c>
      <c r="H8" s="1595" t="s">
        <v>506</v>
      </c>
      <c r="I8" s="1597"/>
      <c r="J8" s="1647" t="s">
        <v>146</v>
      </c>
      <c r="K8" s="1595" t="s">
        <v>507</v>
      </c>
      <c r="L8" s="1597"/>
    </row>
    <row r="9" spans="2:14" s="35" customFormat="1" ht="26.25" customHeight="1" x14ac:dyDescent="0.3">
      <c r="B9" s="1646"/>
      <c r="C9" s="1648"/>
      <c r="D9" s="1648"/>
      <c r="E9" s="365" t="s">
        <v>816</v>
      </c>
      <c r="F9" s="250" t="s">
        <v>817</v>
      </c>
      <c r="G9" s="1648"/>
      <c r="H9" s="686" t="s">
        <v>816</v>
      </c>
      <c r="I9" s="686" t="s">
        <v>817</v>
      </c>
      <c r="J9" s="1648"/>
      <c r="K9" s="686" t="s">
        <v>816</v>
      </c>
      <c r="L9" s="686" t="s">
        <v>817</v>
      </c>
    </row>
    <row r="10" spans="2:14" s="6" customFormat="1" x14ac:dyDescent="0.3">
      <c r="B10" s="132">
        <v>1</v>
      </c>
      <c r="C10" s="55" t="s">
        <v>379</v>
      </c>
      <c r="D10" s="1672" t="s">
        <v>772</v>
      </c>
      <c r="E10" s="1673"/>
      <c r="F10" s="1674"/>
      <c r="G10" s="1672" t="s">
        <v>772</v>
      </c>
      <c r="H10" s="1673"/>
      <c r="I10" s="1674"/>
      <c r="J10" s="1672" t="s">
        <v>772</v>
      </c>
      <c r="K10" s="1673"/>
      <c r="L10" s="1674"/>
    </row>
    <row r="11" spans="2:14" s="6" customFormat="1" x14ac:dyDescent="0.3">
      <c r="B11" s="132">
        <v>2</v>
      </c>
      <c r="C11" s="55" t="s">
        <v>150</v>
      </c>
      <c r="D11" s="1675"/>
      <c r="E11" s="1676"/>
      <c r="F11" s="1677"/>
      <c r="G11" s="1675"/>
      <c r="H11" s="1676"/>
      <c r="I11" s="1677"/>
      <c r="J11" s="1675"/>
      <c r="K11" s="1676"/>
      <c r="L11" s="1677"/>
    </row>
    <row r="12" spans="2:14" s="6" customFormat="1" x14ac:dyDescent="0.3">
      <c r="B12" s="132">
        <v>3</v>
      </c>
      <c r="C12" s="55" t="s">
        <v>151</v>
      </c>
      <c r="D12" s="1675"/>
      <c r="E12" s="1676"/>
      <c r="F12" s="1677"/>
      <c r="G12" s="1675"/>
      <c r="H12" s="1676"/>
      <c r="I12" s="1677"/>
      <c r="J12" s="1675"/>
      <c r="K12" s="1676"/>
      <c r="L12" s="1677"/>
    </row>
    <row r="13" spans="2:14" x14ac:dyDescent="0.3">
      <c r="B13" s="132">
        <v>4</v>
      </c>
      <c r="C13" s="134" t="s">
        <v>152</v>
      </c>
      <c r="D13" s="1675"/>
      <c r="E13" s="1676"/>
      <c r="F13" s="1677"/>
      <c r="G13" s="1675"/>
      <c r="H13" s="1676"/>
      <c r="I13" s="1677"/>
      <c r="J13" s="1675"/>
      <c r="K13" s="1676"/>
      <c r="L13" s="1677"/>
    </row>
    <row r="14" spans="2:14" x14ac:dyDescent="0.3">
      <c r="B14" s="10"/>
      <c r="C14" s="9"/>
      <c r="D14" s="1675"/>
      <c r="E14" s="1676"/>
      <c r="F14" s="1677"/>
      <c r="G14" s="1675"/>
      <c r="H14" s="1676"/>
      <c r="I14" s="1677"/>
      <c r="J14" s="1675"/>
      <c r="K14" s="1676"/>
      <c r="L14" s="1677"/>
    </row>
    <row r="15" spans="2:14" ht="14" customHeight="1" x14ac:dyDescent="0.3">
      <c r="B15" s="135">
        <v>5</v>
      </c>
      <c r="C15" s="56" t="s">
        <v>153</v>
      </c>
      <c r="D15" s="1675"/>
      <c r="E15" s="1676"/>
      <c r="F15" s="1677"/>
      <c r="G15" s="1675"/>
      <c r="H15" s="1676"/>
      <c r="I15" s="1677"/>
      <c r="J15" s="1675"/>
      <c r="K15" s="1676"/>
      <c r="L15" s="1677"/>
    </row>
    <row r="16" spans="2:14" s="1" customFormat="1" ht="17.25" customHeight="1" x14ac:dyDescent="0.3">
      <c r="B16" s="136">
        <v>6</v>
      </c>
      <c r="C16" s="55" t="s">
        <v>381</v>
      </c>
      <c r="D16" s="1675"/>
      <c r="E16" s="1676"/>
      <c r="F16" s="1677"/>
      <c r="G16" s="1675"/>
      <c r="H16" s="1676"/>
      <c r="I16" s="1677"/>
      <c r="J16" s="1675"/>
      <c r="K16" s="1676"/>
      <c r="L16" s="1677"/>
    </row>
    <row r="17" spans="2:14" s="1" customFormat="1" x14ac:dyDescent="0.3">
      <c r="B17" s="132">
        <v>7</v>
      </c>
      <c r="C17" s="56" t="s">
        <v>88</v>
      </c>
      <c r="D17" s="1675"/>
      <c r="E17" s="1676"/>
      <c r="F17" s="1677"/>
      <c r="G17" s="1675"/>
      <c r="H17" s="1676"/>
      <c r="I17" s="1677"/>
      <c r="J17" s="1675"/>
      <c r="K17" s="1676"/>
      <c r="L17" s="1677"/>
    </row>
    <row r="18" spans="2:14" s="1" customFormat="1" x14ac:dyDescent="0.3">
      <c r="B18" s="132"/>
      <c r="C18" s="56"/>
      <c r="D18" s="1675"/>
      <c r="E18" s="1676"/>
      <c r="F18" s="1677"/>
      <c r="G18" s="1675"/>
      <c r="H18" s="1676"/>
      <c r="I18" s="1677"/>
      <c r="J18" s="1675"/>
      <c r="K18" s="1676"/>
      <c r="L18" s="1677"/>
    </row>
    <row r="19" spans="2:14" s="1" customFormat="1" x14ac:dyDescent="0.3">
      <c r="B19" s="152">
        <v>8</v>
      </c>
      <c r="C19" s="56" t="s">
        <v>483</v>
      </c>
      <c r="D19" s="1678"/>
      <c r="E19" s="1679"/>
      <c r="F19" s="1680"/>
      <c r="G19" s="1678"/>
      <c r="H19" s="1679"/>
      <c r="I19" s="1680"/>
      <c r="J19" s="1678"/>
      <c r="K19" s="1679"/>
      <c r="L19" s="1680"/>
    </row>
    <row r="20" spans="2:14" s="1" customFormat="1" hidden="1" x14ac:dyDescent="0.3">
      <c r="B20" s="6" t="s">
        <v>162</v>
      </c>
      <c r="C20" s="36"/>
    </row>
    <row r="21" spans="2:14" s="1" customFormat="1" hidden="1" x14ac:dyDescent="0.3">
      <c r="B21" s="5">
        <v>1</v>
      </c>
      <c r="C21" s="7" t="s">
        <v>708</v>
      </c>
    </row>
    <row r="22" spans="2:14" s="1" customFormat="1" hidden="1" x14ac:dyDescent="0.3">
      <c r="B22" s="5">
        <v>2</v>
      </c>
      <c r="C22" s="7" t="s">
        <v>452</v>
      </c>
    </row>
    <row r="23" spans="2:14" s="1" customFormat="1" hidden="1" x14ac:dyDescent="0.3">
      <c r="B23" s="5">
        <v>3</v>
      </c>
      <c r="C23" s="44" t="s">
        <v>161</v>
      </c>
    </row>
    <row r="24" spans="2:14" s="1" customFormat="1" x14ac:dyDescent="0.3">
      <c r="B24" s="5"/>
      <c r="C24" s="44"/>
    </row>
    <row r="25" spans="2:14" x14ac:dyDescent="0.3">
      <c r="B25" s="6" t="s">
        <v>1105</v>
      </c>
    </row>
    <row r="26" spans="2:14" x14ac:dyDescent="0.3">
      <c r="B26" s="48"/>
      <c r="C26" s="17"/>
      <c r="D26" s="18"/>
      <c r="E26" s="18"/>
      <c r="F26" s="18"/>
      <c r="G26" s="18"/>
      <c r="H26" s="18"/>
    </row>
    <row r="27" spans="2:14" s="35" customFormat="1" ht="15.75" customHeight="1" x14ac:dyDescent="0.3">
      <c r="B27" s="1645" t="s">
        <v>340</v>
      </c>
      <c r="C27" s="1647" t="s">
        <v>38</v>
      </c>
      <c r="D27" s="1600" t="s">
        <v>380</v>
      </c>
      <c r="E27" s="1595" t="s">
        <v>1067</v>
      </c>
      <c r="F27" s="1596"/>
      <c r="G27" s="1595" t="s">
        <v>1068</v>
      </c>
      <c r="H27" s="1596"/>
      <c r="I27" s="1595" t="s">
        <v>1069</v>
      </c>
      <c r="J27" s="1596"/>
      <c r="K27" s="1595" t="s">
        <v>1070</v>
      </c>
      <c r="L27" s="1596"/>
      <c r="M27" s="1595" t="s">
        <v>1071</v>
      </c>
      <c r="N27" s="1596"/>
    </row>
    <row r="28" spans="2:14" s="6" customFormat="1" ht="35" customHeight="1" x14ac:dyDescent="0.3">
      <c r="B28" s="1646"/>
      <c r="C28" s="1648"/>
      <c r="D28" s="1642"/>
      <c r="E28" s="365" t="s">
        <v>816</v>
      </c>
      <c r="F28" s="365" t="s">
        <v>817</v>
      </c>
      <c r="G28" s="365" t="s">
        <v>816</v>
      </c>
      <c r="H28" s="365" t="s">
        <v>817</v>
      </c>
      <c r="I28" s="365" t="s">
        <v>816</v>
      </c>
      <c r="J28" s="365" t="s">
        <v>817</v>
      </c>
      <c r="K28" s="365" t="s">
        <v>816</v>
      </c>
      <c r="L28" s="365" t="s">
        <v>817</v>
      </c>
      <c r="M28" s="365" t="s">
        <v>816</v>
      </c>
      <c r="N28" s="365" t="s">
        <v>817</v>
      </c>
    </row>
    <row r="29" spans="2:14" s="6" customFormat="1" x14ac:dyDescent="0.3">
      <c r="B29" s="132">
        <v>1</v>
      </c>
      <c r="C29" s="55" t="s">
        <v>379</v>
      </c>
      <c r="D29" s="133"/>
      <c r="E29" s="1681" t="s">
        <v>772</v>
      </c>
      <c r="F29" s="1682"/>
      <c r="G29" s="1682"/>
      <c r="H29" s="1682"/>
      <c r="I29" s="1682"/>
      <c r="J29" s="1682"/>
      <c r="K29" s="1682"/>
      <c r="L29" s="1682"/>
      <c r="M29" s="1682"/>
      <c r="N29" s="1683"/>
    </row>
    <row r="30" spans="2:14" s="6" customFormat="1" x14ac:dyDescent="0.3">
      <c r="B30" s="132">
        <v>2</v>
      </c>
      <c r="C30" s="55" t="s">
        <v>150</v>
      </c>
      <c r="D30" s="133"/>
      <c r="E30" s="1684"/>
      <c r="F30" s="1685"/>
      <c r="G30" s="1685"/>
      <c r="H30" s="1685"/>
      <c r="I30" s="1685"/>
      <c r="J30" s="1685"/>
      <c r="K30" s="1685"/>
      <c r="L30" s="1685"/>
      <c r="M30" s="1685"/>
      <c r="N30" s="1686"/>
    </row>
    <row r="31" spans="2:14" x14ac:dyDescent="0.3">
      <c r="B31" s="132">
        <v>3</v>
      </c>
      <c r="C31" s="55" t="s">
        <v>709</v>
      </c>
      <c r="D31" s="133"/>
      <c r="E31" s="1684"/>
      <c r="F31" s="1685"/>
      <c r="G31" s="1685"/>
      <c r="H31" s="1685"/>
      <c r="I31" s="1685"/>
      <c r="J31" s="1685"/>
      <c r="K31" s="1685"/>
      <c r="L31" s="1685"/>
      <c r="M31" s="1685"/>
      <c r="N31" s="1686"/>
    </row>
    <row r="32" spans="2:14" x14ac:dyDescent="0.3">
      <c r="B32" s="132">
        <v>4</v>
      </c>
      <c r="C32" s="134" t="s">
        <v>152</v>
      </c>
      <c r="D32" s="133"/>
      <c r="E32" s="1684"/>
      <c r="F32" s="1685"/>
      <c r="G32" s="1685"/>
      <c r="H32" s="1685"/>
      <c r="I32" s="1685"/>
      <c r="J32" s="1685"/>
      <c r="K32" s="1685"/>
      <c r="L32" s="1685"/>
      <c r="M32" s="1685"/>
      <c r="N32" s="1686"/>
    </row>
    <row r="33" spans="2:14" ht="14" customHeight="1" x14ac:dyDescent="0.3">
      <c r="B33" s="10"/>
      <c r="C33" s="9"/>
      <c r="D33" s="133"/>
      <c r="E33" s="1684"/>
      <c r="F33" s="1685"/>
      <c r="G33" s="1685"/>
      <c r="H33" s="1685"/>
      <c r="I33" s="1685"/>
      <c r="J33" s="1685"/>
      <c r="K33" s="1685"/>
      <c r="L33" s="1685"/>
      <c r="M33" s="1685"/>
      <c r="N33" s="1686"/>
    </row>
    <row r="34" spans="2:14" s="1" customFormat="1" x14ac:dyDescent="0.3">
      <c r="B34" s="135">
        <v>5</v>
      </c>
      <c r="C34" s="56" t="s">
        <v>153</v>
      </c>
      <c r="D34" s="133"/>
      <c r="E34" s="1684"/>
      <c r="F34" s="1685"/>
      <c r="G34" s="1685"/>
      <c r="H34" s="1685"/>
      <c r="I34" s="1685"/>
      <c r="J34" s="1685"/>
      <c r="K34" s="1685"/>
      <c r="L34" s="1685"/>
      <c r="M34" s="1685"/>
      <c r="N34" s="1686"/>
    </row>
    <row r="35" spans="2:14" s="1" customFormat="1" x14ac:dyDescent="0.3">
      <c r="B35" s="144">
        <v>6</v>
      </c>
      <c r="C35" s="55" t="s">
        <v>381</v>
      </c>
      <c r="D35" s="133"/>
      <c r="E35" s="1684"/>
      <c r="F35" s="1685"/>
      <c r="G35" s="1685"/>
      <c r="H35" s="1685"/>
      <c r="I35" s="1685"/>
      <c r="J35" s="1685"/>
      <c r="K35" s="1685"/>
      <c r="L35" s="1685"/>
      <c r="M35" s="1685"/>
      <c r="N35" s="1686"/>
    </row>
    <row r="36" spans="2:14" s="1" customFormat="1" x14ac:dyDescent="0.3">
      <c r="B36" s="132">
        <v>7</v>
      </c>
      <c r="C36" s="56" t="s">
        <v>88</v>
      </c>
      <c r="D36" s="9"/>
      <c r="E36" s="1687"/>
      <c r="F36" s="1688"/>
      <c r="G36" s="1688"/>
      <c r="H36" s="1688"/>
      <c r="I36" s="1688"/>
      <c r="J36" s="1688"/>
      <c r="K36" s="1688"/>
      <c r="L36" s="1688"/>
      <c r="M36" s="1688"/>
      <c r="N36" s="1689"/>
    </row>
    <row r="37" spans="2:14" s="1" customFormat="1" x14ac:dyDescent="0.3">
      <c r="B37" s="5"/>
      <c r="C37" s="36"/>
    </row>
    <row r="38" spans="2:14" s="1" customFormat="1" x14ac:dyDescent="0.3">
      <c r="B38" s="49"/>
      <c r="C38" s="7"/>
      <c r="D38" s="45"/>
      <c r="E38" s="45"/>
      <c r="F38" s="45"/>
      <c r="G38" s="11"/>
      <c r="H38" s="11"/>
      <c r="I38" s="7"/>
    </row>
    <row r="39" spans="2:14" s="1" customFormat="1" ht="18" customHeight="1" x14ac:dyDescent="0.3">
      <c r="B39" s="44"/>
      <c r="C39" s="43"/>
      <c r="D39" s="44"/>
      <c r="E39" s="44"/>
      <c r="F39" s="44"/>
      <c r="G39" s="44"/>
      <c r="H39" s="44"/>
      <c r="I39" s="7"/>
    </row>
    <row r="40" spans="2:14" s="1" customFormat="1" ht="13.5" customHeight="1" x14ac:dyDescent="0.3">
      <c r="B40" s="44"/>
      <c r="C40" s="43"/>
      <c r="D40" s="44"/>
      <c r="E40" s="44"/>
      <c r="F40" s="44"/>
      <c r="G40" s="44"/>
      <c r="H40" s="44"/>
      <c r="I40" s="7"/>
    </row>
    <row r="41" spans="2:14" x14ac:dyDescent="0.3">
      <c r="B41" s="44"/>
      <c r="C41" s="44"/>
      <c r="D41" s="7"/>
      <c r="E41" s="7"/>
      <c r="F41" s="7"/>
      <c r="G41" s="7"/>
      <c r="H41" s="7"/>
      <c r="I41" s="7"/>
    </row>
    <row r="42" spans="2:14" x14ac:dyDescent="0.3">
      <c r="B42" s="7"/>
      <c r="C42" s="7"/>
      <c r="D42" s="7"/>
      <c r="E42" s="7"/>
      <c r="F42" s="7"/>
      <c r="G42" s="7"/>
      <c r="H42" s="7"/>
      <c r="I42" s="7"/>
    </row>
    <row r="43" spans="2:14" x14ac:dyDescent="0.3">
      <c r="B43" s="7"/>
      <c r="C43" s="7"/>
      <c r="D43" s="7"/>
      <c r="E43" s="7"/>
      <c r="F43" s="7"/>
      <c r="G43" s="7"/>
      <c r="H43" s="51"/>
      <c r="I43" s="7"/>
    </row>
    <row r="44" spans="2:14" x14ac:dyDescent="0.3">
      <c r="B44" s="7"/>
      <c r="C44" s="7"/>
      <c r="D44" s="7"/>
      <c r="E44" s="7"/>
      <c r="F44" s="7"/>
      <c r="G44" s="7"/>
      <c r="H44" s="7"/>
      <c r="I44" s="7"/>
    </row>
    <row r="45" spans="2:14" x14ac:dyDescent="0.3">
      <c r="B45" s="7"/>
      <c r="C45" s="7"/>
    </row>
  </sheetData>
  <mergeCells count="23">
    <mergeCell ref="E29:N36"/>
    <mergeCell ref="G8:G9"/>
    <mergeCell ref="H8:I8"/>
    <mergeCell ref="G10:I19"/>
    <mergeCell ref="J8:J9"/>
    <mergeCell ref="K8:L8"/>
    <mergeCell ref="J10:L19"/>
    <mergeCell ref="K27:L27"/>
    <mergeCell ref="M27:N27"/>
    <mergeCell ref="B27:B28"/>
    <mergeCell ref="B2:M2"/>
    <mergeCell ref="B3:M3"/>
    <mergeCell ref="B4:M4"/>
    <mergeCell ref="D8:D9"/>
    <mergeCell ref="E8:F8"/>
    <mergeCell ref="C8:C9"/>
    <mergeCell ref="B8:B9"/>
    <mergeCell ref="D27:D28"/>
    <mergeCell ref="C27:C28"/>
    <mergeCell ref="E27:F27"/>
    <mergeCell ref="G27:H27"/>
    <mergeCell ref="I27:J27"/>
    <mergeCell ref="D10:F19"/>
  </mergeCells>
  <pageMargins left="0.75" right="0.75" top="1" bottom="1" header="0.5" footer="0.5"/>
  <pageSetup paperSize="9" scale="8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2:P32"/>
  <sheetViews>
    <sheetView showGridLines="0" view="pageBreakPreview" zoomScale="90" zoomScaleNormal="80" zoomScaleSheetLayoutView="90" workbookViewId="0">
      <selection activeCell="B7" sqref="B7:B9"/>
    </sheetView>
  </sheetViews>
  <sheetFormatPr defaultColWidth="9.36328125" defaultRowHeight="14" x14ac:dyDescent="0.3"/>
  <cols>
    <col min="1" max="1" width="3.36328125" style="5" customWidth="1"/>
    <col min="2" max="2" width="8.36328125" style="5" customWidth="1"/>
    <col min="3" max="3" width="26.6328125" style="5" customWidth="1"/>
    <col min="4" max="7" width="16.6328125" style="5" customWidth="1"/>
    <col min="8" max="8" width="15.6328125" style="5" customWidth="1"/>
    <col min="9" max="9" width="14.36328125" style="5" customWidth="1"/>
    <col min="10" max="10" width="15.6328125" style="5" customWidth="1"/>
    <col min="11" max="11" width="18" style="5" bestFit="1" customWidth="1"/>
    <col min="12" max="16" width="15.6328125" style="5" customWidth="1"/>
    <col min="17" max="16384" width="9.36328125" style="5"/>
  </cols>
  <sheetData>
    <row r="2" spans="2:16" x14ac:dyDescent="0.3">
      <c r="B2" s="1598" t="str">
        <f>Index!B2</f>
        <v xml:space="preserve">      Maharashtra State Power Generation Company Ltd.</v>
      </c>
      <c r="C2" s="1649"/>
      <c r="D2" s="1649"/>
      <c r="E2" s="1649"/>
      <c r="F2" s="1649"/>
      <c r="G2" s="1649"/>
      <c r="H2" s="1649"/>
      <c r="I2" s="1649"/>
      <c r="J2" s="1649"/>
      <c r="K2" s="1649"/>
      <c r="L2" s="1649"/>
      <c r="M2" s="1649"/>
      <c r="N2" s="1649"/>
      <c r="O2" s="1649"/>
      <c r="P2" s="1649"/>
    </row>
    <row r="3" spans="2:16" x14ac:dyDescent="0.3">
      <c r="B3" s="1598" t="str">
        <f>Index!B3</f>
        <v>MYT Petition Formats for Bhusawal Unit 3</v>
      </c>
      <c r="C3" s="1649"/>
      <c r="D3" s="1649"/>
      <c r="E3" s="1649"/>
      <c r="F3" s="1649"/>
      <c r="G3" s="1649"/>
      <c r="H3" s="1649"/>
      <c r="I3" s="1649"/>
      <c r="J3" s="1649"/>
      <c r="K3" s="1649"/>
      <c r="L3" s="1649"/>
      <c r="M3" s="1649"/>
      <c r="N3" s="1649"/>
      <c r="O3" s="1649"/>
      <c r="P3" s="1649"/>
    </row>
    <row r="4" spans="2:16" x14ac:dyDescent="0.3">
      <c r="B4" s="1599" t="s">
        <v>387</v>
      </c>
      <c r="C4" s="1649"/>
      <c r="D4" s="1649"/>
      <c r="E4" s="1649"/>
      <c r="F4" s="1649"/>
      <c r="G4" s="1649"/>
      <c r="H4" s="1649"/>
      <c r="I4" s="1649"/>
      <c r="J4" s="1649"/>
      <c r="K4" s="1649"/>
      <c r="L4" s="1649"/>
      <c r="M4" s="1649"/>
      <c r="N4" s="1649"/>
      <c r="O4" s="1649"/>
      <c r="P4" s="1649"/>
    </row>
    <row r="5" spans="2:16" x14ac:dyDescent="0.3">
      <c r="C5" s="19"/>
      <c r="D5" s="19"/>
      <c r="E5" s="19"/>
      <c r="F5" s="19"/>
      <c r="G5" s="19"/>
    </row>
    <row r="6" spans="2:16" x14ac:dyDescent="0.3">
      <c r="B6" s="48"/>
      <c r="C6" s="17"/>
      <c r="D6" s="17"/>
      <c r="E6" s="17"/>
      <c r="F6" s="17"/>
      <c r="G6" s="17"/>
      <c r="H6" s="18"/>
      <c r="I6" s="18"/>
      <c r="J6" s="18"/>
    </row>
    <row r="7" spans="2:16" s="35" customFormat="1" x14ac:dyDescent="0.3">
      <c r="B7" s="1639" t="s">
        <v>6</v>
      </c>
      <c r="C7" s="1641" t="s">
        <v>38</v>
      </c>
      <c r="D7" s="1699" t="s">
        <v>505</v>
      </c>
      <c r="E7" s="1700"/>
      <c r="F7" s="1699" t="s">
        <v>506</v>
      </c>
      <c r="G7" s="1700"/>
      <c r="H7" s="1595" t="s">
        <v>507</v>
      </c>
      <c r="I7" s="1596"/>
      <c r="J7" s="1596"/>
      <c r="K7" s="1596"/>
      <c r="L7" s="1595" t="s">
        <v>506</v>
      </c>
      <c r="M7" s="1597"/>
      <c r="N7" s="1595" t="s">
        <v>507</v>
      </c>
      <c r="O7" s="1597"/>
      <c r="P7" s="1600" t="s">
        <v>28</v>
      </c>
    </row>
    <row r="8" spans="2:16" s="36" customFormat="1" ht="28" x14ac:dyDescent="0.25">
      <c r="B8" s="1639"/>
      <c r="C8" s="1641"/>
      <c r="D8" s="226" t="s">
        <v>706</v>
      </c>
      <c r="E8" s="226" t="s">
        <v>80</v>
      </c>
      <c r="F8" s="287" t="s">
        <v>448</v>
      </c>
      <c r="G8" s="287" t="s">
        <v>80</v>
      </c>
      <c r="H8" s="287" t="s">
        <v>448</v>
      </c>
      <c r="I8" s="202" t="s">
        <v>443</v>
      </c>
      <c r="J8" s="202" t="s">
        <v>447</v>
      </c>
      <c r="K8" s="202" t="s">
        <v>81</v>
      </c>
      <c r="L8" s="287" t="s">
        <v>448</v>
      </c>
      <c r="M8" s="287" t="s">
        <v>674</v>
      </c>
      <c r="N8" s="287" t="s">
        <v>448</v>
      </c>
      <c r="O8" s="287" t="s">
        <v>674</v>
      </c>
      <c r="P8" s="1601"/>
    </row>
    <row r="9" spans="2:16" s="36" customFormat="1" ht="24.75" customHeight="1" x14ac:dyDescent="0.25">
      <c r="B9" s="1640"/>
      <c r="C9" s="1604"/>
      <c r="D9" s="226" t="s">
        <v>82</v>
      </c>
      <c r="E9" s="226" t="s">
        <v>83</v>
      </c>
      <c r="F9" s="287" t="s">
        <v>459</v>
      </c>
      <c r="G9" s="287" t="s">
        <v>391</v>
      </c>
      <c r="H9" s="202" t="s">
        <v>410</v>
      </c>
      <c r="I9" s="202" t="s">
        <v>411</v>
      </c>
      <c r="J9" s="202" t="s">
        <v>500</v>
      </c>
      <c r="K9" s="202" t="s">
        <v>501</v>
      </c>
      <c r="L9" s="226" t="s">
        <v>589</v>
      </c>
      <c r="M9" s="226" t="s">
        <v>590</v>
      </c>
      <c r="N9" s="226" t="s">
        <v>591</v>
      </c>
      <c r="O9" s="226" t="s">
        <v>592</v>
      </c>
      <c r="P9" s="1642"/>
    </row>
    <row r="10" spans="2:16" s="36" customFormat="1" ht="28.25" customHeight="1" x14ac:dyDescent="0.25">
      <c r="B10" s="148">
        <v>1</v>
      </c>
      <c r="C10" s="57" t="s">
        <v>334</v>
      </c>
      <c r="D10" s="1690" t="s">
        <v>773</v>
      </c>
      <c r="E10" s="1691"/>
      <c r="F10" s="1691"/>
      <c r="G10" s="1691"/>
      <c r="H10" s="1691"/>
      <c r="I10" s="1691"/>
      <c r="J10" s="1691"/>
      <c r="K10" s="1691"/>
      <c r="L10" s="1691"/>
      <c r="M10" s="1691"/>
      <c r="N10" s="1691"/>
      <c r="O10" s="1691"/>
      <c r="P10" s="1692"/>
    </row>
    <row r="11" spans="2:16" s="6" customFormat="1" x14ac:dyDescent="0.3">
      <c r="B11" s="145" t="s">
        <v>163</v>
      </c>
      <c r="C11" s="53" t="s">
        <v>164</v>
      </c>
      <c r="D11" s="1693"/>
      <c r="E11" s="1694"/>
      <c r="F11" s="1694"/>
      <c r="G11" s="1694"/>
      <c r="H11" s="1694"/>
      <c r="I11" s="1694"/>
      <c r="J11" s="1694"/>
      <c r="K11" s="1694"/>
      <c r="L11" s="1694"/>
      <c r="M11" s="1694"/>
      <c r="N11" s="1694"/>
      <c r="O11" s="1694"/>
      <c r="P11" s="1695"/>
    </row>
    <row r="12" spans="2:16" s="6" customFormat="1" x14ac:dyDescent="0.3">
      <c r="B12" s="132"/>
      <c r="C12" s="54" t="s">
        <v>165</v>
      </c>
      <c r="D12" s="1693"/>
      <c r="E12" s="1694"/>
      <c r="F12" s="1694"/>
      <c r="G12" s="1694"/>
      <c r="H12" s="1694"/>
      <c r="I12" s="1694"/>
      <c r="J12" s="1694"/>
      <c r="K12" s="1694"/>
      <c r="L12" s="1694"/>
      <c r="M12" s="1694"/>
      <c r="N12" s="1694"/>
      <c r="O12" s="1694"/>
      <c r="P12" s="1695"/>
    </row>
    <row r="13" spans="2:16" s="6" customFormat="1" x14ac:dyDescent="0.3">
      <c r="B13" s="132"/>
      <c r="C13" s="54" t="s">
        <v>166</v>
      </c>
      <c r="D13" s="1693"/>
      <c r="E13" s="1694"/>
      <c r="F13" s="1694"/>
      <c r="G13" s="1694"/>
      <c r="H13" s="1694"/>
      <c r="I13" s="1694"/>
      <c r="J13" s="1694"/>
      <c r="K13" s="1694"/>
      <c r="L13" s="1694"/>
      <c r="M13" s="1694"/>
      <c r="N13" s="1694"/>
      <c r="O13" s="1694"/>
      <c r="P13" s="1695"/>
    </row>
    <row r="14" spans="2:16" s="6" customFormat="1" x14ac:dyDescent="0.3">
      <c r="B14" s="132"/>
      <c r="C14" s="54" t="s">
        <v>167</v>
      </c>
      <c r="D14" s="1693"/>
      <c r="E14" s="1694"/>
      <c r="F14" s="1694"/>
      <c r="G14" s="1694"/>
      <c r="H14" s="1694"/>
      <c r="I14" s="1694"/>
      <c r="J14" s="1694"/>
      <c r="K14" s="1694"/>
      <c r="L14" s="1694"/>
      <c r="M14" s="1694"/>
      <c r="N14" s="1694"/>
      <c r="O14" s="1694"/>
      <c r="P14" s="1695"/>
    </row>
    <row r="15" spans="2:16" s="6" customFormat="1" x14ac:dyDescent="0.3">
      <c r="B15" s="132"/>
      <c r="C15" s="55"/>
      <c r="D15" s="1693"/>
      <c r="E15" s="1694"/>
      <c r="F15" s="1694"/>
      <c r="G15" s="1694"/>
      <c r="H15" s="1694"/>
      <c r="I15" s="1694"/>
      <c r="J15" s="1694"/>
      <c r="K15" s="1694"/>
      <c r="L15" s="1694"/>
      <c r="M15" s="1694"/>
      <c r="N15" s="1694"/>
      <c r="O15" s="1694"/>
      <c r="P15" s="1695"/>
    </row>
    <row r="16" spans="2:16" s="6" customFormat="1" x14ac:dyDescent="0.3">
      <c r="B16" s="145" t="s">
        <v>168</v>
      </c>
      <c r="C16" s="56" t="s">
        <v>169</v>
      </c>
      <c r="D16" s="1693"/>
      <c r="E16" s="1694"/>
      <c r="F16" s="1694"/>
      <c r="G16" s="1694"/>
      <c r="H16" s="1694"/>
      <c r="I16" s="1694"/>
      <c r="J16" s="1694"/>
      <c r="K16" s="1694"/>
      <c r="L16" s="1694"/>
      <c r="M16" s="1694"/>
      <c r="N16" s="1694"/>
      <c r="O16" s="1694"/>
      <c r="P16" s="1695"/>
    </row>
    <row r="17" spans="2:16" s="6" customFormat="1" x14ac:dyDescent="0.3">
      <c r="B17" s="132"/>
      <c r="C17" s="54" t="s">
        <v>165</v>
      </c>
      <c r="D17" s="1693"/>
      <c r="E17" s="1694"/>
      <c r="F17" s="1694"/>
      <c r="G17" s="1694"/>
      <c r="H17" s="1694"/>
      <c r="I17" s="1694"/>
      <c r="J17" s="1694"/>
      <c r="K17" s="1694"/>
      <c r="L17" s="1694"/>
      <c r="M17" s="1694"/>
      <c r="N17" s="1694"/>
      <c r="O17" s="1694"/>
      <c r="P17" s="1695"/>
    </row>
    <row r="18" spans="2:16" x14ac:dyDescent="0.3">
      <c r="B18" s="132"/>
      <c r="C18" s="54" t="s">
        <v>166</v>
      </c>
      <c r="D18" s="1693"/>
      <c r="E18" s="1694"/>
      <c r="F18" s="1694"/>
      <c r="G18" s="1694"/>
      <c r="H18" s="1694"/>
      <c r="I18" s="1694"/>
      <c r="J18" s="1694"/>
      <c r="K18" s="1694"/>
      <c r="L18" s="1694"/>
      <c r="M18" s="1694"/>
      <c r="N18" s="1694"/>
      <c r="O18" s="1694"/>
      <c r="P18" s="1695"/>
    </row>
    <row r="19" spans="2:16" x14ac:dyDescent="0.3">
      <c r="B19" s="10"/>
      <c r="C19" s="54" t="s">
        <v>170</v>
      </c>
      <c r="D19" s="1693"/>
      <c r="E19" s="1694"/>
      <c r="F19" s="1694"/>
      <c r="G19" s="1694"/>
      <c r="H19" s="1694"/>
      <c r="I19" s="1694"/>
      <c r="J19" s="1694"/>
      <c r="K19" s="1694"/>
      <c r="L19" s="1694"/>
      <c r="M19" s="1694"/>
      <c r="N19" s="1694"/>
      <c r="O19" s="1694"/>
      <c r="P19" s="1695"/>
    </row>
    <row r="20" spans="2:16" x14ac:dyDescent="0.3">
      <c r="B20" s="10"/>
      <c r="C20" s="56"/>
      <c r="D20" s="1693"/>
      <c r="E20" s="1694"/>
      <c r="F20" s="1694"/>
      <c r="G20" s="1694"/>
      <c r="H20" s="1694"/>
      <c r="I20" s="1694"/>
      <c r="J20" s="1694"/>
      <c r="K20" s="1694"/>
      <c r="L20" s="1694"/>
      <c r="M20" s="1694"/>
      <c r="N20" s="1694"/>
      <c r="O20" s="1694"/>
      <c r="P20" s="1695"/>
    </row>
    <row r="21" spans="2:16" s="1" customFormat="1" ht="17.25" customHeight="1" x14ac:dyDescent="0.3">
      <c r="B21" s="136">
        <v>2</v>
      </c>
      <c r="C21" s="57" t="s">
        <v>335</v>
      </c>
      <c r="D21" s="1693"/>
      <c r="E21" s="1694"/>
      <c r="F21" s="1694"/>
      <c r="G21" s="1694"/>
      <c r="H21" s="1694"/>
      <c r="I21" s="1694"/>
      <c r="J21" s="1694"/>
      <c r="K21" s="1694"/>
      <c r="L21" s="1694"/>
      <c r="M21" s="1694"/>
      <c r="N21" s="1694"/>
      <c r="O21" s="1694"/>
      <c r="P21" s="1695"/>
    </row>
    <row r="22" spans="2:16" s="1" customFormat="1" ht="17.25" customHeight="1" x14ac:dyDescent="0.3">
      <c r="B22" s="136"/>
      <c r="C22" s="57" t="s">
        <v>171</v>
      </c>
      <c r="D22" s="1693"/>
      <c r="E22" s="1694"/>
      <c r="F22" s="1694"/>
      <c r="G22" s="1694"/>
      <c r="H22" s="1694"/>
      <c r="I22" s="1694"/>
      <c r="J22" s="1694"/>
      <c r="K22" s="1694"/>
      <c r="L22" s="1694"/>
      <c r="M22" s="1694"/>
      <c r="N22" s="1694"/>
      <c r="O22" s="1694"/>
      <c r="P22" s="1695"/>
    </row>
    <row r="23" spans="2:16" s="1" customFormat="1" ht="17.25" customHeight="1" x14ac:dyDescent="0.3">
      <c r="B23" s="136"/>
      <c r="C23" s="57" t="s">
        <v>171</v>
      </c>
      <c r="D23" s="1693"/>
      <c r="E23" s="1694"/>
      <c r="F23" s="1694"/>
      <c r="G23" s="1694"/>
      <c r="H23" s="1694"/>
      <c r="I23" s="1694"/>
      <c r="J23" s="1694"/>
      <c r="K23" s="1694"/>
      <c r="L23" s="1694"/>
      <c r="M23" s="1694"/>
      <c r="N23" s="1694"/>
      <c r="O23" s="1694"/>
      <c r="P23" s="1695"/>
    </row>
    <row r="24" spans="2:16" s="1" customFormat="1" x14ac:dyDescent="0.3">
      <c r="B24" s="132"/>
      <c r="C24" s="56" t="s">
        <v>172</v>
      </c>
      <c r="D24" s="1696"/>
      <c r="E24" s="1697"/>
      <c r="F24" s="1697"/>
      <c r="G24" s="1697"/>
      <c r="H24" s="1697"/>
      <c r="I24" s="1697"/>
      <c r="J24" s="1697"/>
      <c r="K24" s="1697"/>
      <c r="L24" s="1697"/>
      <c r="M24" s="1697"/>
      <c r="N24" s="1697"/>
      <c r="O24" s="1697"/>
      <c r="P24" s="1698"/>
    </row>
    <row r="25" spans="2:16" s="1" customFormat="1" x14ac:dyDescent="0.3">
      <c r="B25" s="5"/>
      <c r="C25" s="36"/>
      <c r="D25" s="36"/>
      <c r="E25" s="36"/>
      <c r="F25" s="36"/>
      <c r="G25" s="36"/>
    </row>
    <row r="26" spans="2:16" s="1" customFormat="1" x14ac:dyDescent="0.3">
      <c r="B26" s="49"/>
      <c r="C26" s="7"/>
      <c r="D26" s="7"/>
      <c r="E26" s="7"/>
      <c r="F26" s="7"/>
      <c r="G26" s="7"/>
      <c r="H26" s="7"/>
      <c r="I26" s="7"/>
      <c r="J26" s="7"/>
      <c r="K26" s="7"/>
    </row>
    <row r="27" spans="2:16" s="1" customFormat="1" x14ac:dyDescent="0.3">
      <c r="B27" s="41"/>
      <c r="C27" s="41"/>
      <c r="D27" s="41"/>
      <c r="E27" s="41"/>
      <c r="F27" s="41"/>
      <c r="G27" s="41"/>
      <c r="H27" s="45"/>
      <c r="I27" s="11"/>
      <c r="J27" s="11"/>
      <c r="K27" s="7"/>
    </row>
    <row r="28" spans="2:16" s="1" customFormat="1" x14ac:dyDescent="0.3">
      <c r="B28" s="7"/>
      <c r="C28" s="41"/>
      <c r="D28" s="41"/>
      <c r="E28" s="41"/>
      <c r="F28" s="41"/>
      <c r="G28" s="41"/>
      <c r="H28" s="41"/>
      <c r="I28" s="41"/>
      <c r="J28" s="41"/>
      <c r="K28" s="7"/>
    </row>
    <row r="29" spans="2:16" x14ac:dyDescent="0.3">
      <c r="B29" s="7"/>
      <c r="C29" s="7"/>
      <c r="D29" s="7"/>
      <c r="E29" s="7"/>
      <c r="F29" s="7"/>
      <c r="G29" s="7"/>
      <c r="H29" s="7"/>
      <c r="I29" s="7"/>
      <c r="J29" s="7"/>
      <c r="K29" s="7"/>
    </row>
    <row r="30" spans="2:16" x14ac:dyDescent="0.3">
      <c r="B30" s="7"/>
      <c r="C30" s="7"/>
      <c r="D30" s="7"/>
      <c r="E30" s="7"/>
      <c r="F30" s="7"/>
      <c r="G30" s="7"/>
      <c r="H30" s="7"/>
      <c r="I30" s="7"/>
      <c r="J30" s="7"/>
      <c r="K30" s="7"/>
    </row>
    <row r="31" spans="2:16" x14ac:dyDescent="0.3">
      <c r="B31" s="7"/>
      <c r="C31" s="7"/>
      <c r="D31" s="7"/>
      <c r="E31" s="7"/>
      <c r="F31" s="7"/>
      <c r="G31" s="7"/>
      <c r="H31" s="7"/>
      <c r="I31" s="7"/>
      <c r="J31" s="51"/>
      <c r="K31" s="7"/>
    </row>
    <row r="32" spans="2:16" x14ac:dyDescent="0.3">
      <c r="B32" s="7"/>
      <c r="C32" s="7"/>
      <c r="D32" s="7"/>
      <c r="E32" s="7"/>
      <c r="F32" s="7"/>
      <c r="G32" s="7"/>
      <c r="H32" s="7"/>
      <c r="I32" s="7"/>
      <c r="J32" s="7"/>
      <c r="K32" s="7"/>
    </row>
  </sheetData>
  <mergeCells count="12">
    <mergeCell ref="D10:P24"/>
    <mergeCell ref="B2:P2"/>
    <mergeCell ref="B3:P3"/>
    <mergeCell ref="B4:P4"/>
    <mergeCell ref="B7:B9"/>
    <mergeCell ref="C7:C9"/>
    <mergeCell ref="H7:K7"/>
    <mergeCell ref="D7:E7"/>
    <mergeCell ref="F7:G7"/>
    <mergeCell ref="L7:M7"/>
    <mergeCell ref="N7:O7"/>
    <mergeCell ref="P7:P9"/>
  </mergeCells>
  <pageMargins left="0.75" right="0.75" top="1" bottom="1" header="0.5" footer="0.5"/>
  <pageSetup paperSize="9" scale="5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A29"/>
  <sheetViews>
    <sheetView showGridLines="0" view="pageBreakPreview" zoomScale="70" zoomScaleSheetLayoutView="70" workbookViewId="0">
      <pane xSplit="4" ySplit="9" topLeftCell="E10" activePane="bottomRight" state="frozen"/>
      <selection pane="topRight" activeCell="E1" sqref="E1"/>
      <selection pane="bottomLeft" activeCell="A10" sqref="A10"/>
      <selection pane="bottomRight" activeCell="F11" sqref="F11:F13"/>
    </sheetView>
  </sheetViews>
  <sheetFormatPr defaultColWidth="9.36328125" defaultRowHeight="14" x14ac:dyDescent="0.3"/>
  <cols>
    <col min="1" max="1" width="4.36328125" style="5" customWidth="1"/>
    <col min="2" max="2" width="6.36328125" style="5" customWidth="1"/>
    <col min="3" max="3" width="50.81640625" style="5" customWidth="1"/>
    <col min="4" max="4" width="17.54296875" style="5" customWidth="1"/>
    <col min="5" max="5" width="11.08984375" style="5" customWidth="1"/>
    <col min="6" max="6" width="14.453125" style="5" customWidth="1"/>
    <col min="7" max="8" width="17.54296875" style="5" customWidth="1"/>
    <col min="9" max="9" width="11.08984375" style="5" customWidth="1"/>
    <col min="10" max="10" width="14.453125" style="5" customWidth="1"/>
    <col min="11" max="11" width="17.54296875" style="5" customWidth="1"/>
    <col min="12" max="12" width="15.36328125" style="5" customWidth="1"/>
    <col min="13" max="13" width="11.08984375" style="5" customWidth="1"/>
    <col min="14" max="23" width="15.6328125" style="5" customWidth="1"/>
    <col min="24" max="24" width="20.54296875" style="5" customWidth="1"/>
    <col min="25" max="16384" width="9.36328125" style="5"/>
  </cols>
  <sheetData>
    <row r="1" spans="2:27" x14ac:dyDescent="0.3">
      <c r="B1" s="48"/>
    </row>
    <row r="2" spans="2:27" x14ac:dyDescent="0.3">
      <c r="B2" s="1668" t="str">
        <f>Index!B2</f>
        <v xml:space="preserve">      Maharashtra State Power Generation Company Ltd.</v>
      </c>
      <c r="C2" s="1668"/>
      <c r="D2" s="1668"/>
      <c r="E2" s="1668"/>
      <c r="F2" s="1668"/>
      <c r="G2" s="1668"/>
      <c r="H2" s="1668"/>
      <c r="I2" s="1668"/>
      <c r="J2" s="1668"/>
      <c r="K2" s="1668"/>
      <c r="L2" s="1668"/>
      <c r="M2" s="597"/>
      <c r="N2" s="1668" t="s">
        <v>779</v>
      </c>
      <c r="O2" s="1668"/>
      <c r="P2" s="1668"/>
      <c r="Q2" s="1668"/>
      <c r="R2" s="1668"/>
      <c r="S2" s="1668"/>
      <c r="T2" s="1668"/>
      <c r="U2" s="1668"/>
      <c r="V2" s="1668"/>
      <c r="W2" s="1668"/>
      <c r="X2" s="1668"/>
      <c r="Y2" s="525"/>
      <c r="Z2" s="525"/>
      <c r="AA2" s="525"/>
    </row>
    <row r="3" spans="2:27" x14ac:dyDescent="0.3">
      <c r="B3" s="1668" t="str">
        <f>Index!B3</f>
        <v>MYT Petition Formats for Bhusawal Unit 3</v>
      </c>
      <c r="C3" s="1668"/>
      <c r="D3" s="1668"/>
      <c r="E3" s="1668"/>
      <c r="F3" s="1668"/>
      <c r="G3" s="1668"/>
      <c r="H3" s="1668"/>
      <c r="I3" s="1668"/>
      <c r="J3" s="1668"/>
      <c r="K3" s="1668"/>
      <c r="L3" s="1668"/>
      <c r="M3" s="597"/>
      <c r="N3" s="1668" t="s">
        <v>780</v>
      </c>
      <c r="O3" s="1668"/>
      <c r="P3" s="1668"/>
      <c r="Q3" s="1668"/>
      <c r="R3" s="1668"/>
      <c r="S3" s="1668"/>
      <c r="T3" s="1668"/>
      <c r="U3" s="1668"/>
      <c r="V3" s="1668"/>
      <c r="W3" s="1668"/>
      <c r="X3" s="1668"/>
      <c r="Y3" s="525"/>
      <c r="Z3" s="525"/>
      <c r="AA3" s="525"/>
    </row>
    <row r="4" spans="2:27" x14ac:dyDescent="0.3">
      <c r="B4" s="1668" t="s">
        <v>647</v>
      </c>
      <c r="C4" s="1668"/>
      <c r="D4" s="1668"/>
      <c r="E4" s="1668"/>
      <c r="F4" s="1668"/>
      <c r="G4" s="1668"/>
      <c r="H4" s="1668"/>
      <c r="I4" s="1668"/>
      <c r="J4" s="1668"/>
      <c r="K4" s="1668"/>
      <c r="L4" s="1668"/>
      <c r="M4" s="597"/>
      <c r="N4" s="1668" t="s">
        <v>929</v>
      </c>
      <c r="O4" s="1668"/>
      <c r="P4" s="1668"/>
      <c r="Q4" s="1668"/>
      <c r="R4" s="1668"/>
      <c r="S4" s="1668"/>
      <c r="T4" s="1668"/>
      <c r="U4" s="1668"/>
      <c r="V4" s="1668"/>
      <c r="W4" s="1668"/>
      <c r="X4" s="1668"/>
      <c r="Y4" s="525"/>
      <c r="Z4" s="525"/>
      <c r="AA4" s="525"/>
    </row>
    <row r="5" spans="2:27" x14ac:dyDescent="0.3">
      <c r="C5" s="58"/>
      <c r="D5" s="58"/>
      <c r="E5" s="58"/>
      <c r="F5" s="58"/>
      <c r="G5" s="58"/>
      <c r="H5" s="58"/>
      <c r="I5" s="58"/>
      <c r="J5" s="58"/>
      <c r="K5" s="58"/>
      <c r="L5" s="58"/>
      <c r="M5" s="58"/>
      <c r="N5" s="58"/>
      <c r="O5" s="58"/>
      <c r="P5" s="58"/>
      <c r="Q5" s="58"/>
      <c r="R5" s="58"/>
      <c r="S5" s="58"/>
      <c r="T5" s="58"/>
      <c r="U5" s="58"/>
      <c r="V5" s="58"/>
      <c r="W5" s="58"/>
    </row>
    <row r="6" spans="2:27" x14ac:dyDescent="0.3">
      <c r="X6" s="21" t="s">
        <v>10</v>
      </c>
    </row>
    <row r="7" spans="2:27" s="35" customFormat="1" ht="15" customHeight="1" x14ac:dyDescent="0.3">
      <c r="B7" s="1701" t="s">
        <v>340</v>
      </c>
      <c r="C7" s="1706" t="s">
        <v>38</v>
      </c>
      <c r="D7" s="1609" t="s">
        <v>5</v>
      </c>
      <c r="E7" s="1609" t="s">
        <v>505</v>
      </c>
      <c r="F7" s="1609"/>
      <c r="G7" s="1609"/>
      <c r="H7" s="1609"/>
      <c r="I7" s="1609" t="s">
        <v>506</v>
      </c>
      <c r="J7" s="1609"/>
      <c r="K7" s="1609"/>
      <c r="L7" s="1609"/>
      <c r="M7" s="1609" t="s">
        <v>507</v>
      </c>
      <c r="N7" s="1609"/>
      <c r="O7" s="1609"/>
      <c r="P7" s="1609"/>
      <c r="Q7" s="1609"/>
      <c r="R7" s="1609"/>
      <c r="S7" s="1620" t="s">
        <v>1066</v>
      </c>
      <c r="T7" s="1620"/>
      <c r="U7" s="1620"/>
      <c r="V7" s="1620"/>
      <c r="W7" s="1620"/>
      <c r="X7" s="1609" t="s">
        <v>28</v>
      </c>
    </row>
    <row r="8" spans="2:27" s="36" customFormat="1" ht="35.4" customHeight="1" x14ac:dyDescent="0.25">
      <c r="B8" s="1701"/>
      <c r="C8" s="1706"/>
      <c r="D8" s="1609"/>
      <c r="E8" s="1126" t="s">
        <v>1680</v>
      </c>
      <c r="F8" s="1126" t="s">
        <v>916</v>
      </c>
      <c r="G8" s="1126" t="s">
        <v>80</v>
      </c>
      <c r="H8" s="1126" t="s">
        <v>449</v>
      </c>
      <c r="I8" s="1126" t="s">
        <v>1680</v>
      </c>
      <c r="J8" s="1126" t="s">
        <v>916</v>
      </c>
      <c r="K8" s="1126" t="s">
        <v>80</v>
      </c>
      <c r="L8" s="1126" t="s">
        <v>449</v>
      </c>
      <c r="M8" s="1126" t="s">
        <v>1680</v>
      </c>
      <c r="N8" s="1126" t="s">
        <v>916</v>
      </c>
      <c r="O8" s="1126" t="s">
        <v>443</v>
      </c>
      <c r="P8" s="1126" t="s">
        <v>447</v>
      </c>
      <c r="Q8" s="1126" t="s">
        <v>81</v>
      </c>
      <c r="R8" s="1126" t="s">
        <v>450</v>
      </c>
      <c r="S8" s="1132" t="s">
        <v>1067</v>
      </c>
      <c r="T8" s="1132" t="s">
        <v>1068</v>
      </c>
      <c r="U8" s="1132" t="s">
        <v>1069</v>
      </c>
      <c r="V8" s="1132" t="s">
        <v>1070</v>
      </c>
      <c r="W8" s="1132" t="s">
        <v>1071</v>
      </c>
      <c r="X8" s="1609"/>
    </row>
    <row r="9" spans="2:27" s="36" customFormat="1" ht="15.75" customHeight="1" x14ac:dyDescent="0.25">
      <c r="B9" s="1701"/>
      <c r="C9" s="1706"/>
      <c r="D9" s="1609"/>
      <c r="E9" s="1126" t="s">
        <v>82</v>
      </c>
      <c r="F9" s="1126" t="s">
        <v>83</v>
      </c>
      <c r="G9" s="1126" t="s">
        <v>1675</v>
      </c>
      <c r="H9" s="1126" t="s">
        <v>1676</v>
      </c>
      <c r="I9" s="1126" t="s">
        <v>1577</v>
      </c>
      <c r="J9" s="1126" t="s">
        <v>508</v>
      </c>
      <c r="K9" s="1126" t="s">
        <v>410</v>
      </c>
      <c r="L9" s="1126" t="s">
        <v>1677</v>
      </c>
      <c r="M9" s="1126" t="s">
        <v>588</v>
      </c>
      <c r="N9" s="1126" t="s">
        <v>653</v>
      </c>
      <c r="O9" s="1126" t="s">
        <v>589</v>
      </c>
      <c r="P9" s="1126" t="s">
        <v>590</v>
      </c>
      <c r="Q9" s="1126" t="s">
        <v>677</v>
      </c>
      <c r="R9" s="1126" t="s">
        <v>678</v>
      </c>
      <c r="S9" s="1126" t="s">
        <v>21</v>
      </c>
      <c r="T9" s="1126" t="s">
        <v>21</v>
      </c>
      <c r="U9" s="1126" t="s">
        <v>21</v>
      </c>
      <c r="V9" s="1126" t="s">
        <v>21</v>
      </c>
      <c r="W9" s="1126" t="s">
        <v>21</v>
      </c>
      <c r="X9" s="1610"/>
    </row>
    <row r="10" spans="2:27" s="87" customFormat="1" ht="18.649999999999999" customHeight="1" x14ac:dyDescent="0.3">
      <c r="B10" s="169">
        <v>1</v>
      </c>
      <c r="C10" s="469" t="s">
        <v>174</v>
      </c>
      <c r="D10" s="170" t="s">
        <v>67</v>
      </c>
      <c r="E10" s="170"/>
      <c r="F10" s="631">
        <f>SUM(F11:F13)</f>
        <v>105.24660807906189</v>
      </c>
      <c r="G10" s="631">
        <f>SUM(G11:G13)</f>
        <v>125.64025840892256</v>
      </c>
      <c r="H10" s="631">
        <f>G10-F10</f>
        <v>20.393650329860677</v>
      </c>
      <c r="I10" s="631"/>
      <c r="J10" s="631">
        <f>SUM(J11:J13)</f>
        <v>109.83180729706626</v>
      </c>
      <c r="K10" s="1094">
        <f>SUM(K11:K13)</f>
        <v>172.7465874447887</v>
      </c>
      <c r="L10" s="631">
        <f>K10-J10</f>
        <v>62.914780147722439</v>
      </c>
      <c r="M10" s="526"/>
      <c r="N10" s="631">
        <f>SUM(N11:N13)</f>
        <v>114.61676641472455</v>
      </c>
      <c r="O10" s="631">
        <f>'F3.1'!M10/2</f>
        <v>66.665968938396205</v>
      </c>
      <c r="P10" s="631">
        <f>'F3.1'!M10/2</f>
        <v>66.665968938396205</v>
      </c>
      <c r="Q10" s="315">
        <f>O10+P10</f>
        <v>133.33193787679241</v>
      </c>
      <c r="R10" s="526">
        <f>Q10-N10</f>
        <v>18.715171462067858</v>
      </c>
      <c r="S10" s="526">
        <f>S11</f>
        <v>127.76566784689</v>
      </c>
      <c r="T10" s="526">
        <f t="shared" ref="T10:W10" si="0">T11</f>
        <v>133.33193787679241</v>
      </c>
      <c r="U10" s="526">
        <f t="shared" si="0"/>
        <v>139.14070937495248</v>
      </c>
      <c r="V10" s="526">
        <f t="shared" si="0"/>
        <v>145.20254721906949</v>
      </c>
      <c r="W10" s="526">
        <f t="shared" si="0"/>
        <v>151.52847655886333</v>
      </c>
      <c r="X10" s="635"/>
    </row>
    <row r="11" spans="2:27" s="87" customFormat="1" ht="18.649999999999999" customHeight="1" x14ac:dyDescent="0.25">
      <c r="B11" s="169">
        <f>B10+1</f>
        <v>2</v>
      </c>
      <c r="C11" s="86" t="s">
        <v>175</v>
      </c>
      <c r="D11" s="170" t="s">
        <v>68</v>
      </c>
      <c r="E11" s="1702">
        <v>104.29715393594824</v>
      </c>
      <c r="F11" s="1705">
        <v>105.24660807906189</v>
      </c>
      <c r="G11" s="319">
        <f>'F3.2'!D36</f>
        <v>76.511491701368342</v>
      </c>
      <c r="H11" s="1705">
        <f>SUM(G11:G13)-F11</f>
        <v>20.393650329860677</v>
      </c>
      <c r="I11" s="1702">
        <v>108.40381744453984</v>
      </c>
      <c r="J11" s="1705">
        <v>109.83180729706626</v>
      </c>
      <c r="K11" s="319">
        <f>'F3.2'!E36</f>
        <v>116.07048761711467</v>
      </c>
      <c r="L11" s="1705">
        <f>SUM(K11:K13)-J11</f>
        <v>62.914780147722439</v>
      </c>
      <c r="M11" s="1702">
        <v>112.67217937476963</v>
      </c>
      <c r="N11" s="1705">
        <v>114.61676641472455</v>
      </c>
      <c r="O11" s="319">
        <f>'F3.2'!F36</f>
        <v>50.851916322742674</v>
      </c>
      <c r="P11" s="319">
        <f>'F3.2'!G36</f>
        <v>52.953235179054353</v>
      </c>
      <c r="Q11" s="319">
        <f>SUM(O11:P11)</f>
        <v>103.80515150179703</v>
      </c>
      <c r="R11" s="1705">
        <f>SUM(Q11:Q13)-N11</f>
        <v>46.42532118530336</v>
      </c>
      <c r="S11" s="1708">
        <f>'F3.1'!$K$10</f>
        <v>127.76566784689</v>
      </c>
      <c r="T11" s="1708">
        <f>'F3.1'!$M$10</f>
        <v>133.33193787679241</v>
      </c>
      <c r="U11" s="1708">
        <f>'F3.1'!$O$10</f>
        <v>139.14070937495248</v>
      </c>
      <c r="V11" s="1708">
        <f>'F3.1'!$Q$10</f>
        <v>145.20254721906949</v>
      </c>
      <c r="W11" s="1708">
        <f>'F3.1'!$S$10</f>
        <v>151.52847655886333</v>
      </c>
      <c r="X11" s="1707"/>
    </row>
    <row r="12" spans="2:27" s="87" customFormat="1" ht="18.649999999999999" customHeight="1" x14ac:dyDescent="0.25">
      <c r="B12" s="169">
        <f t="shared" ref="B12:B17" si="1">B11+1</f>
        <v>3</v>
      </c>
      <c r="C12" s="86" t="s">
        <v>177</v>
      </c>
      <c r="D12" s="170" t="s">
        <v>69</v>
      </c>
      <c r="E12" s="1703"/>
      <c r="F12" s="1705"/>
      <c r="G12" s="319">
        <f>'F3.3'!D44</f>
        <v>8.1756477868408091</v>
      </c>
      <c r="H12" s="1705"/>
      <c r="I12" s="1703"/>
      <c r="J12" s="1705"/>
      <c r="K12" s="319">
        <f>'F3.3'!E44</f>
        <v>11.293552989434815</v>
      </c>
      <c r="L12" s="1705"/>
      <c r="M12" s="1703"/>
      <c r="N12" s="1705"/>
      <c r="O12" s="319">
        <f>'F3.3'!F44</f>
        <v>3.0961262147390793</v>
      </c>
      <c r="P12" s="319">
        <f>'F3.3'!G44</f>
        <v>7.309970631839434</v>
      </c>
      <c r="Q12" s="319">
        <f>SUM(O12:P12)</f>
        <v>10.406096846578514</v>
      </c>
      <c r="R12" s="1705"/>
      <c r="S12" s="1709"/>
      <c r="T12" s="1709"/>
      <c r="U12" s="1709"/>
      <c r="V12" s="1709"/>
      <c r="W12" s="1709"/>
      <c r="X12" s="1707"/>
    </row>
    <row r="13" spans="2:27" s="87" customFormat="1" ht="18.649999999999999" customHeight="1" x14ac:dyDescent="0.25">
      <c r="B13" s="169">
        <f t="shared" si="1"/>
        <v>4</v>
      </c>
      <c r="C13" s="86" t="s">
        <v>176</v>
      </c>
      <c r="D13" s="170" t="s">
        <v>70</v>
      </c>
      <c r="E13" s="1704"/>
      <c r="F13" s="1705"/>
      <c r="G13" s="319">
        <f>'F3.4'!D21</f>
        <v>40.953118920713401</v>
      </c>
      <c r="H13" s="1705"/>
      <c r="I13" s="1704"/>
      <c r="J13" s="1705"/>
      <c r="K13" s="319">
        <f>'F3.4'!E21</f>
        <v>45.382546838239229</v>
      </c>
      <c r="L13" s="1705"/>
      <c r="M13" s="1704"/>
      <c r="N13" s="1705"/>
      <c r="O13" s="319">
        <f>'F3.4'!F21</f>
        <v>19.635501886228525</v>
      </c>
      <c r="P13" s="319">
        <f>'F3.4'!G21</f>
        <v>27.195337365423839</v>
      </c>
      <c r="Q13" s="319">
        <f>SUM(O13:P13)</f>
        <v>46.830839251652364</v>
      </c>
      <c r="R13" s="1705"/>
      <c r="S13" s="1710"/>
      <c r="T13" s="1710"/>
      <c r="U13" s="1710"/>
      <c r="V13" s="1710"/>
      <c r="W13" s="1710"/>
      <c r="X13" s="1707"/>
    </row>
    <row r="14" spans="2:27" s="87" customFormat="1" ht="18.649999999999999" customHeight="1" x14ac:dyDescent="0.25">
      <c r="B14" s="169">
        <f t="shared" si="1"/>
        <v>5</v>
      </c>
      <c r="C14" s="524" t="s">
        <v>778</v>
      </c>
      <c r="D14" s="170"/>
      <c r="E14" s="1057"/>
      <c r="F14" s="1058"/>
      <c r="G14" s="319"/>
      <c r="H14" s="1058"/>
      <c r="I14" s="1057"/>
      <c r="J14" s="1058">
        <f>K14</f>
        <v>8.1858859193572346</v>
      </c>
      <c r="K14" s="319">
        <v>8.1858859193572346</v>
      </c>
      <c r="L14" s="1058"/>
      <c r="M14" s="1057"/>
      <c r="N14" s="1058">
        <f>Q14</f>
        <v>8.5425142079184599</v>
      </c>
      <c r="O14" s="319">
        <v>4.27125710395923</v>
      </c>
      <c r="P14" s="319">
        <f>O14</f>
        <v>4.27125710395923</v>
      </c>
      <c r="Q14" s="319">
        <f>SUM(O14:P14)</f>
        <v>8.5425142079184599</v>
      </c>
      <c r="R14" s="1058"/>
      <c r="S14" s="1058">
        <f>'F3.1'!$K$13</f>
        <v>8.9146794508735105</v>
      </c>
      <c r="T14" s="1058">
        <f>'F3.1'!$M$13</f>
        <v>9.3030585349405133</v>
      </c>
      <c r="U14" s="1058">
        <f>'F3.1'!$O$13</f>
        <v>9.7083578362483003</v>
      </c>
      <c r="V14" s="1058">
        <f>'F3.1'!$Q$13</f>
        <v>10.13131450507921</v>
      </c>
      <c r="W14" s="1058">
        <f>'F3.1'!$S$13</f>
        <v>10.572697806583321</v>
      </c>
      <c r="X14" s="1060"/>
    </row>
    <row r="15" spans="2:27" s="87" customFormat="1" ht="18.649999999999999" customHeight="1" x14ac:dyDescent="0.25">
      <c r="B15" s="169">
        <f t="shared" si="1"/>
        <v>6</v>
      </c>
      <c r="C15" s="86" t="s">
        <v>178</v>
      </c>
      <c r="D15" s="170"/>
      <c r="E15" s="316"/>
      <c r="F15" s="316"/>
      <c r="G15" s="316">
        <f>'F3.3'!D45+'F3.2'!D37</f>
        <v>0</v>
      </c>
      <c r="H15" s="316">
        <f>G15-F15</f>
        <v>0</v>
      </c>
      <c r="I15" s="316"/>
      <c r="J15" s="316"/>
      <c r="K15" s="316">
        <f>'F3.3'!E45+'F3.2'!E37</f>
        <v>0</v>
      </c>
      <c r="L15" s="316">
        <f>K15-J15</f>
        <v>0</v>
      </c>
      <c r="M15" s="316"/>
      <c r="N15" s="319"/>
      <c r="O15" s="316">
        <f>'F3.3'!F45+'F3.2'!F37</f>
        <v>0</v>
      </c>
      <c r="P15" s="316">
        <f>'F3.3'!G45+'F3.2'!G37</f>
        <v>0</v>
      </c>
      <c r="Q15" s="319">
        <f>O15+P15</f>
        <v>0</v>
      </c>
      <c r="R15" s="319">
        <f>Q15-N15</f>
        <v>0</v>
      </c>
      <c r="S15" s="319"/>
      <c r="T15" s="319"/>
      <c r="U15" s="319"/>
      <c r="V15" s="319"/>
      <c r="W15" s="319"/>
      <c r="X15" s="86"/>
    </row>
    <row r="16" spans="2:27" s="87" customFormat="1" ht="18.649999999999999" customHeight="1" x14ac:dyDescent="0.25">
      <c r="B16" s="169">
        <f t="shared" si="1"/>
        <v>7</v>
      </c>
      <c r="C16" s="86" t="s">
        <v>578</v>
      </c>
      <c r="D16" s="170"/>
      <c r="E16" s="316"/>
      <c r="F16" s="316"/>
      <c r="G16" s="316"/>
      <c r="H16" s="316">
        <f>G16-F16</f>
        <v>0</v>
      </c>
      <c r="I16" s="316"/>
      <c r="J16" s="316"/>
      <c r="K16" s="316"/>
      <c r="L16" s="316">
        <f>K16-J16</f>
        <v>0</v>
      </c>
      <c r="M16" s="316"/>
      <c r="N16" s="319"/>
      <c r="O16" s="319"/>
      <c r="P16" s="319"/>
      <c r="Q16" s="319">
        <f>O16+P16</f>
        <v>0</v>
      </c>
      <c r="R16" s="319">
        <f>Q16-N16</f>
        <v>0</v>
      </c>
      <c r="S16" s="319"/>
      <c r="T16" s="319"/>
      <c r="U16" s="319"/>
      <c r="V16" s="319"/>
      <c r="W16" s="319"/>
      <c r="X16" s="86"/>
    </row>
    <row r="17" spans="1:24" s="525" customFormat="1" ht="33.65" customHeight="1" x14ac:dyDescent="0.25">
      <c r="B17" s="169">
        <f t="shared" si="1"/>
        <v>8</v>
      </c>
      <c r="C17" s="171" t="s">
        <v>390</v>
      </c>
      <c r="D17" s="172"/>
      <c r="E17" s="527">
        <f>SUM(E11:E14)-E15+E16</f>
        <v>104.29715393594824</v>
      </c>
      <c r="F17" s="527">
        <f>SUM(F11:F14)-F15+F16</f>
        <v>105.24660807906189</v>
      </c>
      <c r="G17" s="527">
        <f>SUM(G11:G14)-G15+G16</f>
        <v>125.64025840892256</v>
      </c>
      <c r="H17" s="527">
        <f t="shared" ref="H17:W17" si="2">SUM(H11:H14)-H15+H16</f>
        <v>20.393650329860677</v>
      </c>
      <c r="I17" s="527">
        <f t="shared" si="2"/>
        <v>108.40381744453984</v>
      </c>
      <c r="J17" s="527">
        <f t="shared" si="2"/>
        <v>118.0176932164235</v>
      </c>
      <c r="K17" s="527">
        <f t="shared" si="2"/>
        <v>180.93247336414595</v>
      </c>
      <c r="L17" s="527">
        <f t="shared" si="2"/>
        <v>62.914780147722439</v>
      </c>
      <c r="M17" s="527">
        <f t="shared" si="2"/>
        <v>112.67217937476963</v>
      </c>
      <c r="N17" s="527">
        <f t="shared" si="2"/>
        <v>123.15928062264301</v>
      </c>
      <c r="O17" s="527">
        <f t="shared" si="2"/>
        <v>77.854801527669508</v>
      </c>
      <c r="P17" s="527">
        <f t="shared" si="2"/>
        <v>91.729800280276848</v>
      </c>
      <c r="Q17" s="527">
        <f t="shared" si="2"/>
        <v>169.58460180794637</v>
      </c>
      <c r="R17" s="527">
        <f t="shared" si="2"/>
        <v>46.42532118530336</v>
      </c>
      <c r="S17" s="527">
        <f>SUM(S11:S14)-S15+S16</f>
        <v>136.68034729776352</v>
      </c>
      <c r="T17" s="527">
        <f t="shared" si="2"/>
        <v>142.63499641173291</v>
      </c>
      <c r="U17" s="527">
        <f t="shared" si="2"/>
        <v>148.84906721120078</v>
      </c>
      <c r="V17" s="527">
        <f t="shared" si="2"/>
        <v>155.3338617241487</v>
      </c>
      <c r="W17" s="527">
        <f t="shared" si="2"/>
        <v>162.10117436544664</v>
      </c>
      <c r="X17" s="173"/>
    </row>
    <row r="18" spans="1:24" s="1" customFormat="1" ht="15.75" customHeight="1" x14ac:dyDescent="0.3">
      <c r="A18" s="5"/>
      <c r="B18" s="5"/>
      <c r="G18" s="586"/>
      <c r="H18" s="587"/>
      <c r="I18" s="587"/>
      <c r="J18" s="2"/>
      <c r="K18" s="586"/>
      <c r="L18" s="2"/>
      <c r="X18" s="5"/>
    </row>
    <row r="19" spans="1:24" x14ac:dyDescent="0.3">
      <c r="B19" s="1107"/>
      <c r="C19" s="1107" t="s">
        <v>38</v>
      </c>
      <c r="D19" s="1107"/>
      <c r="E19" s="1108" t="str">
        <f>S8</f>
        <v>FY 2025-26</v>
      </c>
      <c r="F19" s="1108" t="str">
        <f>T8</f>
        <v>FY 2026-27</v>
      </c>
      <c r="G19" s="1108" t="str">
        <f>U8</f>
        <v>FY 2027-28</v>
      </c>
      <c r="H19" s="1108" t="str">
        <f>V8</f>
        <v>FY 2028-29</v>
      </c>
      <c r="I19" s="1108" t="str">
        <f>W8</f>
        <v>FY 2029-30</v>
      </c>
      <c r="K19" s="579"/>
    </row>
    <row r="20" spans="1:24" x14ac:dyDescent="0.3">
      <c r="B20" s="10"/>
      <c r="C20" s="1078" t="s">
        <v>1590</v>
      </c>
      <c r="D20" s="9"/>
      <c r="E20" s="9"/>
      <c r="F20" s="9"/>
      <c r="G20" s="9"/>
      <c r="H20" s="9"/>
      <c r="I20" s="9"/>
      <c r="K20" s="579"/>
    </row>
    <row r="21" spans="1:24" x14ac:dyDescent="0.3">
      <c r="B21" s="9"/>
      <c r="C21" s="9" t="s">
        <v>1591</v>
      </c>
      <c r="D21" s="9"/>
      <c r="E21" s="9"/>
      <c r="F21" s="9"/>
      <c r="G21" s="9"/>
      <c r="H21" s="9"/>
      <c r="I21" s="9"/>
      <c r="K21" s="579"/>
    </row>
    <row r="22" spans="1:24" x14ac:dyDescent="0.3">
      <c r="B22" s="9"/>
      <c r="C22" s="9" t="s">
        <v>1592</v>
      </c>
      <c r="D22" s="9"/>
      <c r="E22" s="9"/>
      <c r="F22" s="9"/>
      <c r="G22" s="9"/>
      <c r="H22" s="9"/>
      <c r="I22" s="9"/>
      <c r="K22" s="579"/>
    </row>
    <row r="23" spans="1:24" x14ac:dyDescent="0.3">
      <c r="B23" s="40"/>
      <c r="C23" s="40" t="s">
        <v>1601</v>
      </c>
      <c r="D23" s="40"/>
      <c r="E23" s="313">
        <f>SUM(E21:E22)</f>
        <v>0</v>
      </c>
      <c r="F23" s="313">
        <f>E23+SUM(F21:F22)</f>
        <v>0</v>
      </c>
      <c r="G23" s="313">
        <f>F23+SUM(G21:G22)</f>
        <v>0</v>
      </c>
      <c r="H23" s="313">
        <f>G23+SUM(H21:H22)</f>
        <v>0</v>
      </c>
      <c r="I23" s="313">
        <f>H23+SUM(I21:I22)</f>
        <v>0</v>
      </c>
      <c r="K23" s="579"/>
    </row>
    <row r="24" spans="1:24" x14ac:dyDescent="0.3">
      <c r="B24" s="1093">
        <v>0.02</v>
      </c>
      <c r="C24" s="40" t="s">
        <v>1590</v>
      </c>
      <c r="D24" s="40"/>
      <c r="E24" s="313">
        <f>E23*$B$24</f>
        <v>0</v>
      </c>
      <c r="F24" s="313">
        <f t="shared" ref="F24:I24" si="3">F23*$B$24</f>
        <v>0</v>
      </c>
      <c r="G24" s="313">
        <f t="shared" si="3"/>
        <v>0</v>
      </c>
      <c r="H24" s="313">
        <f t="shared" si="3"/>
        <v>0</v>
      </c>
      <c r="I24" s="313">
        <f t="shared" si="3"/>
        <v>0</v>
      </c>
      <c r="K24" s="579"/>
    </row>
    <row r="25" spans="1:24" x14ac:dyDescent="0.3">
      <c r="K25" s="579"/>
    </row>
    <row r="28" spans="1:24" x14ac:dyDescent="0.3">
      <c r="B28" s="42" t="s">
        <v>162</v>
      </c>
      <c r="C28" s="1"/>
    </row>
    <row r="29" spans="1:24" x14ac:dyDescent="0.3">
      <c r="B29" s="830" t="s">
        <v>1693</v>
      </c>
      <c r="C29" s="1"/>
    </row>
  </sheetData>
  <mergeCells count="29">
    <mergeCell ref="X7:X9"/>
    <mergeCell ref="L11:L13"/>
    <mergeCell ref="J11:J13"/>
    <mergeCell ref="X11:X13"/>
    <mergeCell ref="N11:N13"/>
    <mergeCell ref="R11:R13"/>
    <mergeCell ref="I7:L7"/>
    <mergeCell ref="M7:R7"/>
    <mergeCell ref="S7:W7"/>
    <mergeCell ref="S11:S13"/>
    <mergeCell ref="T11:T13"/>
    <mergeCell ref="U11:U13"/>
    <mergeCell ref="V11:V13"/>
    <mergeCell ref="W11:W13"/>
    <mergeCell ref="B2:L2"/>
    <mergeCell ref="B3:L3"/>
    <mergeCell ref="B4:L4"/>
    <mergeCell ref="N2:X2"/>
    <mergeCell ref="N3:X3"/>
    <mergeCell ref="N4:X4"/>
    <mergeCell ref="B7:B9"/>
    <mergeCell ref="E11:E13"/>
    <mergeCell ref="I11:I13"/>
    <mergeCell ref="M11:M13"/>
    <mergeCell ref="F11:F13"/>
    <mergeCell ref="H11:H13"/>
    <mergeCell ref="E7:H7"/>
    <mergeCell ref="D7:D9"/>
    <mergeCell ref="C7:C9"/>
  </mergeCells>
  <pageMargins left="1.02" right="0.25" top="1" bottom="1" header="0.25" footer="0.25"/>
  <pageSetup paperSize="9" scale="35" orientation="landscape" r:id="rId1"/>
  <headerFooter alignWithMargins="0">
    <oddHeader>&amp;F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1:X67"/>
  <sheetViews>
    <sheetView showGridLines="0" view="pageBreakPreview" zoomScale="80" zoomScaleNormal="80" zoomScaleSheetLayoutView="80" workbookViewId="0">
      <pane xSplit="3" ySplit="9" topLeftCell="D17" activePane="bottomRight" state="frozen"/>
      <selection pane="topRight" activeCell="D1" sqref="D1"/>
      <selection pane="bottomLeft" activeCell="A10" sqref="A10"/>
      <selection pane="bottomRight" activeCell="E27" sqref="E27"/>
    </sheetView>
  </sheetViews>
  <sheetFormatPr defaultColWidth="9.36328125" defaultRowHeight="14" x14ac:dyDescent="0.3"/>
  <cols>
    <col min="1" max="1" width="9.36328125" style="1"/>
    <col min="2" max="2" width="7.36328125" style="1" customWidth="1"/>
    <col min="3" max="3" width="44.6328125" style="1" customWidth="1"/>
    <col min="4" max="6" width="10.90625" style="1" bestFit="1" customWidth="1"/>
    <col min="7" max="7" width="12.1796875" style="1" customWidth="1"/>
    <col min="8" max="8" width="13.1796875" style="1" customWidth="1"/>
    <col min="9" max="9" width="14.90625" style="1" customWidth="1"/>
    <col min="10" max="10" width="13.453125" style="1" customWidth="1"/>
    <col min="11" max="11" width="13.1796875" style="1" bestFit="1" customWidth="1"/>
    <col min="12" max="12" width="15" style="1" customWidth="1"/>
    <col min="13" max="13" width="17.36328125" style="1" customWidth="1"/>
    <col min="14" max="21" width="15" style="1" customWidth="1"/>
    <col min="22" max="22" width="11.81640625" style="1" customWidth="1"/>
    <col min="23" max="16384" width="9.36328125" style="1"/>
  </cols>
  <sheetData>
    <row r="1" spans="2:24" x14ac:dyDescent="0.3">
      <c r="B1" s="1598" t="str">
        <f>Index!B2</f>
        <v xml:space="preserve">      Maharashtra State Power Generation Company Ltd.</v>
      </c>
      <c r="C1" s="1598"/>
      <c r="D1" s="1598"/>
      <c r="E1" s="1598"/>
      <c r="F1" s="1598"/>
      <c r="G1" s="1598"/>
      <c r="H1" s="1598"/>
      <c r="I1" s="1598"/>
      <c r="J1" s="1598"/>
      <c r="K1" s="1598"/>
      <c r="L1" s="1598"/>
      <c r="M1" s="1598"/>
      <c r="N1" s="223"/>
      <c r="O1" s="223"/>
      <c r="P1" s="180"/>
      <c r="Q1" s="203"/>
    </row>
    <row r="2" spans="2:24" x14ac:dyDescent="0.3">
      <c r="B2" s="1598" t="str">
        <f>Index!B3</f>
        <v>MYT Petition Formats for Bhusawal Unit 3</v>
      </c>
      <c r="C2" s="1598"/>
      <c r="D2" s="1598"/>
      <c r="E2" s="1598"/>
      <c r="F2" s="1598"/>
      <c r="G2" s="1598"/>
      <c r="H2" s="1598"/>
      <c r="I2" s="1598"/>
      <c r="J2" s="1598"/>
      <c r="K2" s="1598"/>
      <c r="L2" s="1598"/>
      <c r="M2" s="1598"/>
      <c r="N2" s="224"/>
      <c r="O2" s="224"/>
      <c r="P2" s="60"/>
      <c r="Q2" s="204"/>
    </row>
    <row r="3" spans="2:24" x14ac:dyDescent="0.3">
      <c r="B3" s="1599" t="s">
        <v>651</v>
      </c>
      <c r="C3" s="1599"/>
      <c r="D3" s="1599"/>
      <c r="E3" s="1599"/>
      <c r="F3" s="1599"/>
      <c r="G3" s="1599"/>
      <c r="H3" s="1599"/>
      <c r="I3" s="1599"/>
      <c r="J3" s="1599"/>
      <c r="K3" s="1599"/>
      <c r="L3" s="1599"/>
      <c r="M3" s="1599"/>
      <c r="N3" s="224"/>
      <c r="O3" s="224"/>
      <c r="P3" s="60"/>
      <c r="Q3" s="204"/>
    </row>
    <row r="4" spans="2:24" x14ac:dyDescent="0.3">
      <c r="B4" s="88"/>
      <c r="C4" s="88"/>
      <c r="D4" s="1049"/>
      <c r="E4" s="1049"/>
      <c r="F4" s="1049"/>
      <c r="G4" s="1055"/>
      <c r="H4" s="1055"/>
      <c r="I4" s="1055"/>
      <c r="J4" s="1055"/>
      <c r="K4" s="595"/>
      <c r="L4" s="88"/>
      <c r="M4" s="88"/>
      <c r="N4" s="224"/>
      <c r="O4" s="224"/>
      <c r="P4" s="88"/>
      <c r="Q4" s="204"/>
    </row>
    <row r="5" spans="2:24" s="2" customFormat="1" x14ac:dyDescent="0.3">
      <c r="B5" s="1726" t="s">
        <v>179</v>
      </c>
      <c r="C5" s="1726"/>
      <c r="D5" s="1726"/>
      <c r="E5" s="1726"/>
      <c r="F5" s="1726"/>
      <c r="G5" s="1726"/>
      <c r="H5" s="1726"/>
      <c r="I5" s="1726"/>
      <c r="J5" s="1726"/>
      <c r="K5" s="1726"/>
      <c r="L5" s="1726"/>
      <c r="M5" s="1726"/>
      <c r="N5" s="1726"/>
      <c r="O5" s="1726"/>
      <c r="P5" s="1726"/>
      <c r="Q5" s="709"/>
    </row>
    <row r="6" spans="2:24" x14ac:dyDescent="0.3">
      <c r="Q6" s="21"/>
      <c r="T6" s="21" t="s">
        <v>10</v>
      </c>
    </row>
    <row r="7" spans="2:24" s="91" customFormat="1" ht="18" customHeight="1" x14ac:dyDescent="0.25">
      <c r="B7" s="1701" t="s">
        <v>340</v>
      </c>
      <c r="C7" s="1701" t="s">
        <v>38</v>
      </c>
      <c r="D7" s="1722" t="s">
        <v>1583</v>
      </c>
      <c r="E7" s="1723"/>
      <c r="F7" s="1723"/>
      <c r="G7" s="1723"/>
      <c r="H7" s="1724"/>
      <c r="I7" s="1701" t="s">
        <v>1578</v>
      </c>
      <c r="J7" s="1059" t="s">
        <v>1581</v>
      </c>
      <c r="K7" s="1706" t="s">
        <v>1066</v>
      </c>
      <c r="L7" s="1706"/>
      <c r="M7" s="1706"/>
      <c r="N7" s="1706"/>
      <c r="O7" s="1706"/>
      <c r="P7" s="1706"/>
      <c r="Q7" s="1706"/>
      <c r="R7" s="1706"/>
      <c r="S7" s="1706"/>
      <c r="T7" s="1706"/>
      <c r="U7" s="1727" t="s">
        <v>28</v>
      </c>
    </row>
    <row r="8" spans="2:24" s="91" customFormat="1" ht="42" customHeight="1" x14ac:dyDescent="0.25">
      <c r="B8" s="1701"/>
      <c r="C8" s="1701"/>
      <c r="D8" s="1059" t="s">
        <v>325</v>
      </c>
      <c r="E8" s="1059" t="s">
        <v>503</v>
      </c>
      <c r="F8" s="1059" t="s">
        <v>504</v>
      </c>
      <c r="G8" s="1059" t="s">
        <v>505</v>
      </c>
      <c r="H8" s="1059" t="s">
        <v>506</v>
      </c>
      <c r="I8" s="1701"/>
      <c r="J8" s="1059" t="s">
        <v>507</v>
      </c>
      <c r="K8" s="1730" t="s">
        <v>1067</v>
      </c>
      <c r="L8" s="1731"/>
      <c r="M8" s="1730" t="s">
        <v>1068</v>
      </c>
      <c r="N8" s="1731"/>
      <c r="O8" s="1730" t="s">
        <v>1069</v>
      </c>
      <c r="P8" s="1731"/>
      <c r="Q8" s="1730" t="s">
        <v>1070</v>
      </c>
      <c r="R8" s="1731"/>
      <c r="S8" s="1730" t="s">
        <v>1071</v>
      </c>
      <c r="T8" s="1731"/>
      <c r="U8" s="1728"/>
      <c r="V8" s="353"/>
      <c r="W8" s="353"/>
    </row>
    <row r="9" spans="2:24" s="91" customFormat="1" ht="38.4" customHeight="1" x14ac:dyDescent="0.25">
      <c r="B9" s="1701"/>
      <c r="C9" s="1701"/>
      <c r="D9" s="1056" t="s">
        <v>82</v>
      </c>
      <c r="E9" s="1056" t="s">
        <v>83</v>
      </c>
      <c r="F9" s="1056" t="s">
        <v>1576</v>
      </c>
      <c r="G9" s="1056" t="s">
        <v>391</v>
      </c>
      <c r="H9" s="1056" t="s">
        <v>1577</v>
      </c>
      <c r="I9" s="1056" t="s">
        <v>1579</v>
      </c>
      <c r="J9" s="1067" t="s">
        <v>410</v>
      </c>
      <c r="K9" s="1059" t="s">
        <v>1582</v>
      </c>
      <c r="L9" s="1056" t="s">
        <v>21</v>
      </c>
      <c r="M9" s="1063" t="s">
        <v>1582</v>
      </c>
      <c r="N9" s="1056" t="s">
        <v>21</v>
      </c>
      <c r="O9" s="1063" t="s">
        <v>1582</v>
      </c>
      <c r="P9" s="1056" t="s">
        <v>21</v>
      </c>
      <c r="Q9" s="1063" t="s">
        <v>1582</v>
      </c>
      <c r="R9" s="1056" t="s">
        <v>21</v>
      </c>
      <c r="S9" s="1063" t="s">
        <v>1582</v>
      </c>
      <c r="T9" s="1056" t="s">
        <v>21</v>
      </c>
      <c r="U9" s="1729"/>
      <c r="V9" s="471" t="s">
        <v>413</v>
      </c>
      <c r="W9" s="472" t="s">
        <v>1116</v>
      </c>
      <c r="X9" s="473"/>
    </row>
    <row r="10" spans="2:24" s="2" customFormat="1" x14ac:dyDescent="0.3">
      <c r="B10" s="408">
        <v>1</v>
      </c>
      <c r="C10" s="86" t="s">
        <v>180</v>
      </c>
      <c r="D10" s="1713">
        <v>89.623129971860749</v>
      </c>
      <c r="E10" s="1716">
        <v>99.434651745457771</v>
      </c>
      <c r="F10" s="1716">
        <v>100.34606322516356</v>
      </c>
      <c r="G10" s="1716">
        <f>SUM('F13'!D11:D12)</f>
        <v>105.24660807906189</v>
      </c>
      <c r="H10" s="1719">
        <f>'F13'!D40</f>
        <v>109.83180729706626</v>
      </c>
      <c r="I10" s="1716">
        <f>AVERAGE(D10:H12)</f>
        <v>100.89645206372204</v>
      </c>
      <c r="J10" s="1712">
        <f>I16*(1+$W$10)*(1+$W$11)*(1+$W$12)</f>
        <v>122.43177546437782</v>
      </c>
      <c r="K10" s="1732">
        <f>J10*(1+$W$13)</f>
        <v>127.76566784689</v>
      </c>
      <c r="L10" s="1732">
        <f>K10</f>
        <v>127.76566784689</v>
      </c>
      <c r="M10" s="1732">
        <f>K10*(1+$W$14)</f>
        <v>133.33193787679241</v>
      </c>
      <c r="N10" s="1732">
        <f>M10</f>
        <v>133.33193787679241</v>
      </c>
      <c r="O10" s="1732">
        <f>M10*(1+$W$15)</f>
        <v>139.14070937495248</v>
      </c>
      <c r="P10" s="1732">
        <f>O10</f>
        <v>139.14070937495248</v>
      </c>
      <c r="Q10" s="1732">
        <f>O10*(1+$W$16)</f>
        <v>145.20254721906949</v>
      </c>
      <c r="R10" s="1732">
        <f>Q10</f>
        <v>145.20254721906949</v>
      </c>
      <c r="S10" s="1732">
        <f>Q10*(1+$W$17)</f>
        <v>151.52847655886333</v>
      </c>
      <c r="T10" s="1732">
        <f>S10</f>
        <v>151.52847655886333</v>
      </c>
      <c r="U10" s="3"/>
      <c r="V10" s="710" t="s">
        <v>505</v>
      </c>
      <c r="W10" s="711">
        <v>4.8836443567319074E-2</v>
      </c>
      <c r="X10" s="546"/>
    </row>
    <row r="11" spans="2:24" s="354" customFormat="1" ht="29" customHeight="1" x14ac:dyDescent="0.3">
      <c r="B11" s="408">
        <f>B10+1</f>
        <v>2</v>
      </c>
      <c r="C11" s="519" t="s">
        <v>394</v>
      </c>
      <c r="D11" s="1714"/>
      <c r="E11" s="1717"/>
      <c r="F11" s="1717"/>
      <c r="G11" s="1717"/>
      <c r="H11" s="1720"/>
      <c r="I11" s="1717"/>
      <c r="J11" s="1712"/>
      <c r="K11" s="1732"/>
      <c r="L11" s="1732"/>
      <c r="M11" s="1732"/>
      <c r="N11" s="1732"/>
      <c r="O11" s="1732"/>
      <c r="P11" s="1732"/>
      <c r="Q11" s="1732"/>
      <c r="R11" s="1732"/>
      <c r="S11" s="1732"/>
      <c r="T11" s="1732"/>
      <c r="U11" s="589"/>
      <c r="V11" s="710" t="s">
        <v>506</v>
      </c>
      <c r="W11" s="715">
        <v>4.3566242197182838E-2</v>
      </c>
      <c r="X11" s="546"/>
    </row>
    <row r="12" spans="2:24" s="2" customFormat="1" x14ac:dyDescent="0.3">
      <c r="B12" s="408">
        <f t="shared" ref="B12:B16" si="0">B11+1</f>
        <v>3</v>
      </c>
      <c r="C12" s="86" t="s">
        <v>460</v>
      </c>
      <c r="D12" s="1714"/>
      <c r="E12" s="1717"/>
      <c r="F12" s="1717"/>
      <c r="G12" s="1717"/>
      <c r="H12" s="1720"/>
      <c r="I12" s="1717"/>
      <c r="J12" s="1712"/>
      <c r="K12" s="1732"/>
      <c r="L12" s="1732"/>
      <c r="M12" s="1732"/>
      <c r="N12" s="1732"/>
      <c r="O12" s="1732"/>
      <c r="P12" s="1732"/>
      <c r="Q12" s="1732"/>
      <c r="R12" s="1732"/>
      <c r="S12" s="1732"/>
      <c r="T12" s="1732"/>
      <c r="U12" s="589"/>
      <c r="V12" s="710" t="s">
        <v>507</v>
      </c>
      <c r="W12" s="712">
        <f>W11</f>
        <v>4.3566242197182838E-2</v>
      </c>
      <c r="X12" s="546"/>
    </row>
    <row r="13" spans="2:24" s="2" customFormat="1" x14ac:dyDescent="0.3">
      <c r="B13" s="408">
        <f t="shared" si="0"/>
        <v>4</v>
      </c>
      <c r="C13" s="541" t="s">
        <v>1115</v>
      </c>
      <c r="D13" s="1715"/>
      <c r="E13" s="1718"/>
      <c r="F13" s="1718"/>
      <c r="G13" s="1718"/>
      <c r="H13" s="1721"/>
      <c r="I13" s="1718"/>
      <c r="J13" s="1069">
        <v>8.5425142079184599</v>
      </c>
      <c r="K13" s="315">
        <v>8.9146794508735105</v>
      </c>
      <c r="L13" s="315">
        <f>K13</f>
        <v>8.9146794508735105</v>
      </c>
      <c r="M13" s="315">
        <v>9.3030585349405133</v>
      </c>
      <c r="N13" s="315">
        <f>M13</f>
        <v>9.3030585349405133</v>
      </c>
      <c r="O13" s="315">
        <v>9.7083578362483003</v>
      </c>
      <c r="P13" s="315">
        <f>O13</f>
        <v>9.7083578362483003</v>
      </c>
      <c r="Q13" s="315">
        <v>10.13131450507921</v>
      </c>
      <c r="R13" s="315">
        <f>Q13</f>
        <v>10.13131450507921</v>
      </c>
      <c r="S13" s="1074">
        <v>10.572697806583321</v>
      </c>
      <c r="T13" s="315">
        <f>S13</f>
        <v>10.572697806583321</v>
      </c>
      <c r="U13" s="589"/>
      <c r="V13" s="710" t="s">
        <v>1067</v>
      </c>
      <c r="W13" s="547">
        <f>W12</f>
        <v>4.3566242197182838E-2</v>
      </c>
      <c r="X13" s="546"/>
    </row>
    <row r="14" spans="2:24" s="449" customFormat="1" x14ac:dyDescent="0.3">
      <c r="B14" s="408">
        <f t="shared" si="0"/>
        <v>5</v>
      </c>
      <c r="C14" s="173" t="s">
        <v>181</v>
      </c>
      <c r="D14" s="1068">
        <f>SUM(D10:D13)</f>
        <v>89.623129971860749</v>
      </c>
      <c r="E14" s="1068">
        <f t="shared" ref="E14:T14" si="1">SUM(E10:E13)</f>
        <v>99.434651745457771</v>
      </c>
      <c r="F14" s="1068">
        <f t="shared" si="1"/>
        <v>100.34606322516356</v>
      </c>
      <c r="G14" s="1068">
        <f t="shared" si="1"/>
        <v>105.24660807906189</v>
      </c>
      <c r="H14" s="1068">
        <f t="shared" si="1"/>
        <v>109.83180729706626</v>
      </c>
      <c r="I14" s="1068">
        <f t="shared" si="1"/>
        <v>100.89645206372204</v>
      </c>
      <c r="J14" s="1068">
        <f t="shared" si="1"/>
        <v>130.97428967229629</v>
      </c>
      <c r="K14" s="1068">
        <f t="shared" si="1"/>
        <v>136.68034729776352</v>
      </c>
      <c r="L14" s="1068">
        <f t="shared" si="1"/>
        <v>136.68034729776352</v>
      </c>
      <c r="M14" s="1068">
        <f t="shared" si="1"/>
        <v>142.63499641173291</v>
      </c>
      <c r="N14" s="1068">
        <f>SUM(N10:N13)</f>
        <v>142.63499641173291</v>
      </c>
      <c r="O14" s="1068">
        <f t="shared" si="1"/>
        <v>148.84906721120078</v>
      </c>
      <c r="P14" s="1068">
        <f t="shared" si="1"/>
        <v>148.84906721120078</v>
      </c>
      <c r="Q14" s="1068">
        <f t="shared" si="1"/>
        <v>155.3338617241487</v>
      </c>
      <c r="R14" s="1068">
        <f t="shared" si="1"/>
        <v>155.3338617241487</v>
      </c>
      <c r="S14" s="1068">
        <f t="shared" si="1"/>
        <v>162.10117436544664</v>
      </c>
      <c r="T14" s="1068">
        <f t="shared" si="1"/>
        <v>162.10117436544664</v>
      </c>
      <c r="U14" s="4"/>
      <c r="V14" s="710" t="s">
        <v>1068</v>
      </c>
      <c r="W14" s="1047">
        <f>W12</f>
        <v>4.3566242197182838E-2</v>
      </c>
      <c r="X14" s="1052"/>
    </row>
    <row r="15" spans="2:24" s="2" customFormat="1" x14ac:dyDescent="0.3">
      <c r="B15" s="408">
        <f t="shared" si="0"/>
        <v>6</v>
      </c>
      <c r="C15" s="86" t="s">
        <v>338</v>
      </c>
      <c r="D15" s="319">
        <v>7.9722901497435092</v>
      </c>
      <c r="E15" s="319">
        <v>-6.2979131674416724</v>
      </c>
      <c r="F15" s="319">
        <v>2.0140919100981165</v>
      </c>
      <c r="G15" s="319">
        <f>'F13'!$H$11</f>
        <v>6.7978834432868922</v>
      </c>
      <c r="H15" s="319">
        <f>'F13'!$H$40</f>
        <v>20.971593382574145</v>
      </c>
      <c r="I15" s="1072">
        <f>AVERAGE(D15:H15)</f>
        <v>6.2915891436521978</v>
      </c>
      <c r="J15" s="86"/>
      <c r="K15" s="319"/>
      <c r="L15" s="319"/>
      <c r="M15" s="319"/>
      <c r="N15" s="319"/>
      <c r="O15" s="319"/>
      <c r="P15" s="319"/>
      <c r="Q15" s="319"/>
      <c r="R15" s="319"/>
      <c r="S15" s="319"/>
      <c r="T15" s="319"/>
      <c r="U15" s="3"/>
      <c r="V15" s="710" t="s">
        <v>1069</v>
      </c>
      <c r="W15" s="1047">
        <f>W12</f>
        <v>4.3566242197182838E-2</v>
      </c>
      <c r="X15" s="1053"/>
    </row>
    <row r="16" spans="2:24" ht="28" x14ac:dyDescent="0.3">
      <c r="B16" s="236">
        <f t="shared" si="0"/>
        <v>7</v>
      </c>
      <c r="C16" s="171" t="s">
        <v>339</v>
      </c>
      <c r="D16" s="1070">
        <f>SUM(D14:D15)</f>
        <v>97.595420121604263</v>
      </c>
      <c r="E16" s="1070">
        <f t="shared" ref="E16:T16" si="2">SUM(E14:E15)</f>
        <v>93.136738578016093</v>
      </c>
      <c r="F16" s="1070">
        <f t="shared" si="2"/>
        <v>102.36015513526168</v>
      </c>
      <c r="G16" s="1070">
        <f t="shared" si="2"/>
        <v>112.04449152234878</v>
      </c>
      <c r="H16" s="1070">
        <f t="shared" si="2"/>
        <v>130.80340067964042</v>
      </c>
      <c r="I16" s="1073">
        <f>AVERAGE(D16:H16)</f>
        <v>107.18804120737425</v>
      </c>
      <c r="J16" s="1070">
        <f t="shared" si="2"/>
        <v>130.97428967229629</v>
      </c>
      <c r="K16" s="1070">
        <f t="shared" si="2"/>
        <v>136.68034729776352</v>
      </c>
      <c r="L16" s="1070">
        <f t="shared" si="2"/>
        <v>136.68034729776352</v>
      </c>
      <c r="M16" s="1070">
        <f t="shared" si="2"/>
        <v>142.63499641173291</v>
      </c>
      <c r="N16" s="1070">
        <f t="shared" si="2"/>
        <v>142.63499641173291</v>
      </c>
      <c r="O16" s="1070">
        <f t="shared" si="2"/>
        <v>148.84906721120078</v>
      </c>
      <c r="P16" s="1070">
        <f t="shared" si="2"/>
        <v>148.84906721120078</v>
      </c>
      <c r="Q16" s="1070">
        <f t="shared" si="2"/>
        <v>155.3338617241487</v>
      </c>
      <c r="R16" s="1070">
        <f t="shared" si="2"/>
        <v>155.3338617241487</v>
      </c>
      <c r="S16" s="1070">
        <f t="shared" si="2"/>
        <v>162.10117436544664</v>
      </c>
      <c r="T16" s="1070">
        <f t="shared" si="2"/>
        <v>162.10117436544664</v>
      </c>
      <c r="U16" s="9"/>
      <c r="V16" s="710" t="s">
        <v>1070</v>
      </c>
      <c r="W16" s="1047">
        <f>W12</f>
        <v>4.3566242197182838E-2</v>
      </c>
    </row>
    <row r="17" spans="2:23" x14ac:dyDescent="0.3">
      <c r="C17" s="2"/>
      <c r="D17" s="2"/>
      <c r="E17" s="2"/>
      <c r="F17" s="2"/>
      <c r="G17" s="2"/>
      <c r="H17" s="2"/>
      <c r="I17" s="2"/>
      <c r="J17" s="2"/>
      <c r="K17" s="2"/>
      <c r="L17" s="2"/>
      <c r="M17" s="2"/>
      <c r="N17" s="2"/>
      <c r="O17" s="2"/>
      <c r="P17" s="2"/>
      <c r="Q17" s="2"/>
      <c r="R17" s="2"/>
      <c r="S17" s="2"/>
      <c r="V17" s="710" t="s">
        <v>1071</v>
      </c>
      <c r="W17" s="1047">
        <f>W13</f>
        <v>4.3566242197182838E-2</v>
      </c>
    </row>
    <row r="18" spans="2:23" x14ac:dyDescent="0.3">
      <c r="B18" s="42" t="s">
        <v>162</v>
      </c>
    </row>
    <row r="19" spans="2:23" x14ac:dyDescent="0.3">
      <c r="B19" s="1">
        <v>1</v>
      </c>
      <c r="C19" s="1" t="s">
        <v>1584</v>
      </c>
    </row>
    <row r="20" spans="2:23" x14ac:dyDescent="0.3">
      <c r="B20" s="1">
        <v>2</v>
      </c>
      <c r="C20" s="1" t="s">
        <v>1585</v>
      </c>
    </row>
    <row r="21" spans="2:23" x14ac:dyDescent="0.3">
      <c r="B21" s="1">
        <v>3</v>
      </c>
      <c r="C21" s="1" t="s">
        <v>1586</v>
      </c>
    </row>
    <row r="22" spans="2:23" x14ac:dyDescent="0.3">
      <c r="B22" s="1">
        <v>3</v>
      </c>
      <c r="C22" s="1" t="s">
        <v>1587</v>
      </c>
    </row>
    <row r="23" spans="2:23" x14ac:dyDescent="0.3">
      <c r="K23" s="21"/>
      <c r="N23" s="21" t="s">
        <v>10</v>
      </c>
    </row>
    <row r="24" spans="2:23" ht="18" customHeight="1" x14ac:dyDescent="0.3">
      <c r="B24" s="1701" t="s">
        <v>340</v>
      </c>
      <c r="C24" s="1701" t="s">
        <v>38</v>
      </c>
      <c r="D24" s="1722"/>
      <c r="E24" s="1723"/>
      <c r="F24" s="1723"/>
      <c r="G24" s="1723"/>
      <c r="H24" s="1723"/>
      <c r="I24" s="1724"/>
      <c r="J24" s="1722" t="s">
        <v>1588</v>
      </c>
      <c r="K24" s="1723"/>
      <c r="L24" s="1723"/>
      <c r="M24" s="1723"/>
      <c r="N24" s="1724"/>
      <c r="O24" s="1064" t="s">
        <v>28</v>
      </c>
    </row>
    <row r="25" spans="2:23" ht="15" x14ac:dyDescent="0.3">
      <c r="B25" s="1701"/>
      <c r="C25" s="1711"/>
      <c r="D25" s="1711" t="s">
        <v>505</v>
      </c>
      <c r="E25" s="1711"/>
      <c r="F25" s="1711" t="s">
        <v>506</v>
      </c>
      <c r="G25" s="1711"/>
      <c r="H25" s="1711" t="s">
        <v>507</v>
      </c>
      <c r="I25" s="1711"/>
      <c r="J25" s="1103" t="s">
        <v>1067</v>
      </c>
      <c r="K25" s="1106" t="s">
        <v>1068</v>
      </c>
      <c r="L25" s="1106" t="s">
        <v>1069</v>
      </c>
      <c r="M25" s="1106" t="s">
        <v>1070</v>
      </c>
      <c r="N25" s="1106" t="s">
        <v>1071</v>
      </c>
      <c r="O25" s="1065"/>
    </row>
    <row r="26" spans="2:23" ht="28" x14ac:dyDescent="0.3">
      <c r="B26" s="1701"/>
      <c r="C26" s="1711"/>
      <c r="D26" s="1062" t="s">
        <v>1065</v>
      </c>
      <c r="E26" s="1062" t="s">
        <v>7</v>
      </c>
      <c r="F26" s="1062" t="s">
        <v>1065</v>
      </c>
      <c r="G26" s="1062" t="s">
        <v>7</v>
      </c>
      <c r="H26" s="1102" t="s">
        <v>1065</v>
      </c>
      <c r="I26" s="1101" t="s">
        <v>21</v>
      </c>
      <c r="J26" s="1101" t="s">
        <v>21</v>
      </c>
      <c r="K26" s="1101" t="s">
        <v>21</v>
      </c>
      <c r="L26" s="1101" t="s">
        <v>21</v>
      </c>
      <c r="M26" s="1101" t="s">
        <v>21</v>
      </c>
      <c r="N26" s="1101" t="s">
        <v>21</v>
      </c>
      <c r="O26" s="1066"/>
    </row>
    <row r="27" spans="2:23" s="2" customFormat="1" x14ac:dyDescent="0.3">
      <c r="B27" s="447">
        <v>1</v>
      </c>
      <c r="C27" s="3" t="s">
        <v>572</v>
      </c>
      <c r="D27" s="1075">
        <v>11.26</v>
      </c>
      <c r="E27" s="1075">
        <v>13.852178556644459</v>
      </c>
      <c r="F27" s="1075">
        <v>11.26</v>
      </c>
      <c r="G27" s="1075">
        <v>16.338128639991467</v>
      </c>
      <c r="H27" s="1075">
        <v>11.26</v>
      </c>
      <c r="I27" s="1075">
        <v>16.338128639991467</v>
      </c>
      <c r="J27" s="428">
        <v>22.932708931440001</v>
      </c>
      <c r="K27" s="428">
        <v>24.541142735339996</v>
      </c>
      <c r="L27" s="428">
        <v>101.40650936624641</v>
      </c>
      <c r="M27" s="428">
        <v>104.73267792688974</v>
      </c>
      <c r="N27" s="428">
        <v>109.06465914208772</v>
      </c>
      <c r="O27" s="3"/>
    </row>
    <row r="28" spans="2:23" x14ac:dyDescent="0.3">
      <c r="N28" s="576"/>
      <c r="O28" s="576"/>
    </row>
    <row r="29" spans="2:23" x14ac:dyDescent="0.3">
      <c r="B29" s="1" t="s">
        <v>711</v>
      </c>
    </row>
    <row r="31" spans="2:23" x14ac:dyDescent="0.3">
      <c r="B31" s="1725" t="s">
        <v>461</v>
      </c>
      <c r="C31" s="1725"/>
      <c r="D31" s="1725"/>
      <c r="E31" s="1725"/>
      <c r="F31" s="1725"/>
      <c r="G31" s="1725"/>
      <c r="H31" s="1725"/>
      <c r="I31" s="1725"/>
      <c r="J31" s="1725"/>
      <c r="K31" s="598"/>
      <c r="L31" s="125"/>
    </row>
    <row r="33" spans="2:11" ht="15" customHeight="1" x14ac:dyDescent="0.3">
      <c r="B33" s="1701" t="s">
        <v>340</v>
      </c>
      <c r="C33" s="1701" t="s">
        <v>38</v>
      </c>
      <c r="D33" s="1620" t="s">
        <v>1066</v>
      </c>
      <c r="E33" s="1620"/>
      <c r="F33" s="1620"/>
      <c r="G33" s="1620"/>
      <c r="H33" s="1620"/>
      <c r="I33" s="1609" t="s">
        <v>28</v>
      </c>
      <c r="J33" s="52"/>
      <c r="K33" s="52"/>
    </row>
    <row r="34" spans="2:11" ht="30" x14ac:dyDescent="0.3">
      <c r="B34" s="1701"/>
      <c r="C34" s="1711"/>
      <c r="D34" s="1106" t="s">
        <v>1067</v>
      </c>
      <c r="E34" s="1106" t="s">
        <v>1068</v>
      </c>
      <c r="F34" s="1106" t="s">
        <v>1069</v>
      </c>
      <c r="G34" s="1106" t="s">
        <v>1070</v>
      </c>
      <c r="H34" s="1106" t="s">
        <v>1071</v>
      </c>
      <c r="I34" s="1609"/>
      <c r="J34" s="642"/>
      <c r="K34" s="642"/>
    </row>
    <row r="35" spans="2:11" x14ac:dyDescent="0.3">
      <c r="B35" s="1701"/>
      <c r="C35" s="1711"/>
      <c r="D35" s="1101" t="s">
        <v>21</v>
      </c>
      <c r="E35" s="1101" t="s">
        <v>21</v>
      </c>
      <c r="F35" s="1101" t="s">
        <v>21</v>
      </c>
      <c r="G35" s="1101" t="s">
        <v>21</v>
      </c>
      <c r="H35" s="1101" t="s">
        <v>21</v>
      </c>
      <c r="I35" s="1610"/>
      <c r="J35" s="642"/>
      <c r="K35" s="642"/>
    </row>
    <row r="36" spans="2:11" x14ac:dyDescent="0.3">
      <c r="B36" s="126" t="s">
        <v>173</v>
      </c>
      <c r="C36" s="104" t="s">
        <v>182</v>
      </c>
      <c r="D36" s="9"/>
      <c r="E36" s="9"/>
      <c r="F36" s="9"/>
      <c r="G36" s="9"/>
      <c r="H36" s="265"/>
      <c r="I36" s="265"/>
      <c r="J36" s="11"/>
      <c r="K36" s="11"/>
    </row>
    <row r="37" spans="2:11" x14ac:dyDescent="0.3">
      <c r="B37" s="127">
        <v>1</v>
      </c>
      <c r="C37" s="3" t="s">
        <v>183</v>
      </c>
      <c r="D37" s="9"/>
      <c r="E37" s="9"/>
      <c r="F37" s="9"/>
      <c r="G37" s="9"/>
      <c r="H37" s="443"/>
      <c r="I37" s="265"/>
      <c r="J37" s="648"/>
      <c r="K37" s="648"/>
    </row>
    <row r="38" spans="2:11" x14ac:dyDescent="0.3">
      <c r="B38" s="127">
        <v>2</v>
      </c>
      <c r="C38" s="3" t="s">
        <v>326</v>
      </c>
      <c r="D38" s="9"/>
      <c r="E38" s="9"/>
      <c r="F38" s="9"/>
      <c r="G38" s="9"/>
      <c r="H38" s="443"/>
      <c r="I38" s="265"/>
      <c r="J38" s="648"/>
      <c r="K38" s="648"/>
    </row>
    <row r="39" spans="2:11" x14ac:dyDescent="0.3">
      <c r="B39" s="127">
        <v>3</v>
      </c>
      <c r="C39" s="3" t="s">
        <v>184</v>
      </c>
      <c r="D39" s="9"/>
      <c r="E39" s="9"/>
      <c r="F39" s="9"/>
      <c r="G39" s="9"/>
      <c r="H39" s="443"/>
      <c r="I39" s="265"/>
      <c r="J39" s="648"/>
      <c r="K39" s="648"/>
    </row>
    <row r="40" spans="2:11" x14ac:dyDescent="0.3">
      <c r="B40" s="127">
        <v>4</v>
      </c>
      <c r="C40" s="3" t="s">
        <v>579</v>
      </c>
      <c r="D40" s="9"/>
      <c r="E40" s="9"/>
      <c r="F40" s="9"/>
      <c r="G40" s="9"/>
      <c r="H40" s="443"/>
      <c r="I40" s="265"/>
      <c r="J40" s="648"/>
      <c r="K40" s="648"/>
    </row>
    <row r="41" spans="2:11" x14ac:dyDescent="0.3">
      <c r="B41" s="127">
        <v>5</v>
      </c>
      <c r="C41" s="3" t="s">
        <v>580</v>
      </c>
      <c r="D41" s="9"/>
      <c r="E41" s="9"/>
      <c r="F41" s="9"/>
      <c r="G41" s="9"/>
      <c r="H41" s="443"/>
      <c r="I41" s="265"/>
      <c r="J41" s="648"/>
      <c r="K41" s="648"/>
    </row>
    <row r="42" spans="2:11" x14ac:dyDescent="0.3">
      <c r="B42" s="127"/>
      <c r="C42" s="3"/>
      <c r="D42" s="9"/>
      <c r="E42" s="9"/>
      <c r="F42" s="9"/>
      <c r="G42" s="9"/>
      <c r="H42" s="443"/>
      <c r="I42" s="265"/>
      <c r="J42" s="648"/>
      <c r="K42" s="648"/>
    </row>
    <row r="43" spans="2:11" x14ac:dyDescent="0.3">
      <c r="B43" s="126" t="s">
        <v>185</v>
      </c>
      <c r="C43" s="592" t="s">
        <v>462</v>
      </c>
      <c r="D43" s="9"/>
      <c r="E43" s="9"/>
      <c r="F43" s="9"/>
      <c r="G43" s="9"/>
      <c r="H43" s="443"/>
      <c r="I43" s="265"/>
      <c r="J43" s="648"/>
      <c r="K43" s="648"/>
    </row>
    <row r="44" spans="2:11" x14ac:dyDescent="0.3">
      <c r="B44" s="127">
        <v>1</v>
      </c>
      <c r="C44" s="3" t="s">
        <v>183</v>
      </c>
      <c r="D44" s="9"/>
      <c r="E44" s="9"/>
      <c r="F44" s="9"/>
      <c r="G44" s="9"/>
      <c r="H44" s="443"/>
      <c r="I44" s="265"/>
      <c r="J44" s="648"/>
      <c r="K44" s="648"/>
    </row>
    <row r="45" spans="2:11" x14ac:dyDescent="0.3">
      <c r="B45" s="127">
        <v>2</v>
      </c>
      <c r="C45" s="3" t="s">
        <v>326</v>
      </c>
      <c r="D45" s="9"/>
      <c r="E45" s="9"/>
      <c r="F45" s="9"/>
      <c r="G45" s="9"/>
      <c r="H45" s="443"/>
      <c r="I45" s="265"/>
      <c r="J45" s="648"/>
      <c r="K45" s="648"/>
    </row>
    <row r="46" spans="2:11" x14ac:dyDescent="0.3">
      <c r="B46" s="127">
        <v>3</v>
      </c>
      <c r="C46" s="3" t="s">
        <v>184</v>
      </c>
      <c r="D46" s="9"/>
      <c r="E46" s="9"/>
      <c r="F46" s="9"/>
      <c r="G46" s="9"/>
      <c r="H46" s="443"/>
      <c r="I46" s="265"/>
      <c r="J46" s="648"/>
      <c r="K46" s="648"/>
    </row>
    <row r="47" spans="2:11" x14ac:dyDescent="0.3">
      <c r="B47" s="127">
        <v>4</v>
      </c>
      <c r="C47" s="3" t="s">
        <v>581</v>
      </c>
      <c r="D47" s="9"/>
      <c r="E47" s="9"/>
      <c r="F47" s="9"/>
      <c r="G47" s="9"/>
      <c r="H47" s="443"/>
      <c r="I47" s="265"/>
      <c r="J47" s="648"/>
      <c r="K47" s="648"/>
    </row>
    <row r="48" spans="2:11" x14ac:dyDescent="0.3">
      <c r="B48" s="127">
        <v>5</v>
      </c>
      <c r="C48" s="3" t="s">
        <v>580</v>
      </c>
      <c r="D48" s="9"/>
      <c r="E48" s="9"/>
      <c r="F48" s="9"/>
      <c r="G48" s="9"/>
      <c r="H48" s="443"/>
      <c r="I48" s="265"/>
      <c r="J48" s="648"/>
      <c r="K48" s="648"/>
    </row>
    <row r="49" spans="2:15" x14ac:dyDescent="0.3">
      <c r="B49" s="127"/>
      <c r="C49" s="3"/>
      <c r="D49" s="9"/>
      <c r="E49" s="9"/>
      <c r="F49" s="9"/>
      <c r="G49" s="9"/>
      <c r="H49" s="443"/>
      <c r="I49" s="265"/>
      <c r="J49" s="648"/>
      <c r="K49" s="648"/>
    </row>
    <row r="50" spans="2:15" x14ac:dyDescent="0.3">
      <c r="B50" s="126" t="s">
        <v>186</v>
      </c>
      <c r="C50" s="592" t="s">
        <v>463</v>
      </c>
      <c r="D50" s="9"/>
      <c r="E50" s="9"/>
      <c r="F50" s="9"/>
      <c r="G50" s="9"/>
      <c r="H50" s="443"/>
      <c r="I50" s="265"/>
      <c r="J50" s="648"/>
      <c r="K50" s="648"/>
    </row>
    <row r="51" spans="2:15" x14ac:dyDescent="0.3">
      <c r="B51" s="127">
        <v>1</v>
      </c>
      <c r="C51" s="3" t="s">
        <v>183</v>
      </c>
      <c r="D51" s="9"/>
      <c r="E51" s="9"/>
      <c r="F51" s="9"/>
      <c r="G51" s="9"/>
      <c r="H51" s="443"/>
      <c r="I51" s="265"/>
      <c r="J51" s="648"/>
      <c r="K51" s="648"/>
    </row>
    <row r="52" spans="2:15" x14ac:dyDescent="0.3">
      <c r="B52" s="127">
        <v>2</v>
      </c>
      <c r="C52" s="3" t="s">
        <v>326</v>
      </c>
      <c r="D52" s="9"/>
      <c r="E52" s="9"/>
      <c r="F52" s="9"/>
      <c r="G52" s="9"/>
      <c r="H52" s="443"/>
      <c r="I52" s="265"/>
      <c r="J52" s="648"/>
      <c r="K52" s="648"/>
    </row>
    <row r="53" spans="2:15" x14ac:dyDescent="0.3">
      <c r="B53" s="127">
        <v>3</v>
      </c>
      <c r="C53" s="3" t="s">
        <v>184</v>
      </c>
      <c r="D53" s="9"/>
      <c r="E53" s="9"/>
      <c r="F53" s="9"/>
      <c r="G53" s="9"/>
      <c r="H53" s="443"/>
      <c r="I53" s="265"/>
      <c r="J53" s="648"/>
      <c r="K53" s="648"/>
    </row>
    <row r="54" spans="2:15" x14ac:dyDescent="0.3">
      <c r="B54" s="127">
        <v>4</v>
      </c>
      <c r="C54" s="3" t="s">
        <v>581</v>
      </c>
      <c r="D54" s="9"/>
      <c r="E54" s="9"/>
      <c r="F54" s="9"/>
      <c r="G54" s="9"/>
      <c r="H54" s="443"/>
      <c r="I54" s="265"/>
      <c r="J54" s="648"/>
      <c r="K54" s="648"/>
    </row>
    <row r="55" spans="2:15" x14ac:dyDescent="0.3">
      <c r="B55" s="127">
        <v>5</v>
      </c>
      <c r="C55" s="3" t="s">
        <v>580</v>
      </c>
      <c r="D55" s="9"/>
      <c r="E55" s="9"/>
      <c r="F55" s="9"/>
      <c r="G55" s="9"/>
      <c r="H55" s="443"/>
      <c r="I55" s="265"/>
      <c r="J55" s="648"/>
      <c r="K55" s="648"/>
    </row>
    <row r="56" spans="2:15" x14ac:dyDescent="0.3">
      <c r="B56" s="46"/>
      <c r="C56" s="5"/>
      <c r="D56" s="5"/>
      <c r="E56" s="5"/>
      <c r="F56" s="5"/>
      <c r="G56" s="5"/>
      <c r="H56" s="5"/>
      <c r="I56" s="5"/>
      <c r="J56" s="5"/>
      <c r="K56" s="5"/>
      <c r="L56" s="5"/>
    </row>
    <row r="59" spans="2:15" x14ac:dyDescent="0.3">
      <c r="B59" s="1725" t="s">
        <v>573</v>
      </c>
      <c r="C59" s="1725"/>
      <c r="D59" s="1725"/>
      <c r="E59" s="1725"/>
      <c r="F59" s="1725"/>
      <c r="G59" s="1725"/>
      <c r="H59" s="1725"/>
      <c r="I59" s="1725"/>
      <c r="J59" s="1725"/>
      <c r="K59" s="598"/>
    </row>
    <row r="60" spans="2:15" x14ac:dyDescent="0.3">
      <c r="K60" s="21"/>
      <c r="O60" s="21" t="s">
        <v>10</v>
      </c>
    </row>
    <row r="61" spans="2:15" ht="15" x14ac:dyDescent="0.3">
      <c r="B61" s="1701" t="s">
        <v>340</v>
      </c>
      <c r="C61" s="1701" t="s">
        <v>38</v>
      </c>
      <c r="D61" s="1051"/>
      <c r="E61" s="1051"/>
      <c r="F61" s="1051"/>
      <c r="G61" s="1051"/>
      <c r="H61" s="1051"/>
      <c r="I61" s="1051"/>
      <c r="J61" s="1051"/>
      <c r="K61" s="1620"/>
      <c r="L61" s="1620"/>
      <c r="M61" s="1620"/>
      <c r="N61" s="1620"/>
      <c r="O61" s="1609" t="s">
        <v>28</v>
      </c>
    </row>
    <row r="62" spans="2:15" ht="15" x14ac:dyDescent="0.3">
      <c r="B62" s="1701"/>
      <c r="C62" s="1711"/>
      <c r="D62" s="1050"/>
      <c r="E62" s="1050"/>
      <c r="F62" s="1050"/>
      <c r="G62" s="1061"/>
      <c r="H62" s="1061"/>
      <c r="I62" s="1061"/>
      <c r="J62" s="1061"/>
      <c r="K62" s="1106" t="s">
        <v>1068</v>
      </c>
      <c r="L62" s="1106" t="s">
        <v>1069</v>
      </c>
      <c r="M62" s="1106" t="s">
        <v>1070</v>
      </c>
      <c r="N62" s="1106" t="s">
        <v>1071</v>
      </c>
      <c r="O62" s="1609"/>
    </row>
    <row r="63" spans="2:15" x14ac:dyDescent="0.3">
      <c r="B63" s="1701"/>
      <c r="C63" s="1711"/>
      <c r="D63" s="1050"/>
      <c r="E63" s="1050"/>
      <c r="F63" s="1050"/>
      <c r="G63" s="1061"/>
      <c r="H63" s="1061"/>
      <c r="I63" s="1061"/>
      <c r="J63" s="1061"/>
      <c r="K63" s="1101" t="s">
        <v>21</v>
      </c>
      <c r="L63" s="1101" t="s">
        <v>21</v>
      </c>
      <c r="M63" s="1101" t="s">
        <v>21</v>
      </c>
      <c r="N63" s="1101" t="s">
        <v>21</v>
      </c>
      <c r="O63" s="1610"/>
    </row>
    <row r="64" spans="2:15" x14ac:dyDescent="0.3">
      <c r="B64" s="160">
        <v>1</v>
      </c>
      <c r="C64" s="38" t="s">
        <v>574</v>
      </c>
      <c r="D64" s="38"/>
      <c r="E64" s="38"/>
      <c r="F64" s="38"/>
      <c r="G64" s="38"/>
      <c r="H64" s="38"/>
      <c r="I64" s="38"/>
      <c r="J64" s="38"/>
      <c r="K64" s="343"/>
      <c r="L64" s="343"/>
      <c r="M64" s="343"/>
      <c r="N64" s="9"/>
      <c r="O64" s="343"/>
    </row>
    <row r="65" spans="2:15" x14ac:dyDescent="0.3">
      <c r="B65" s="127">
        <v>2</v>
      </c>
      <c r="C65" s="9" t="s">
        <v>575</v>
      </c>
      <c r="D65" s="9"/>
      <c r="E65" s="9"/>
      <c r="F65" s="9"/>
      <c r="G65" s="9"/>
      <c r="H65" s="9"/>
      <c r="I65" s="9"/>
      <c r="J65" s="9"/>
      <c r="K65" s="343"/>
      <c r="L65" s="343"/>
      <c r="M65" s="343"/>
      <c r="N65" s="9"/>
      <c r="O65" s="343"/>
    </row>
    <row r="66" spans="2:15" x14ac:dyDescent="0.3">
      <c r="B66" s="127">
        <v>3</v>
      </c>
      <c r="C66" s="9" t="s">
        <v>576</v>
      </c>
      <c r="D66" s="9"/>
      <c r="E66" s="9"/>
      <c r="F66" s="9"/>
      <c r="G66" s="9"/>
      <c r="H66" s="9"/>
      <c r="I66" s="9"/>
      <c r="J66" s="9"/>
      <c r="K66" s="343"/>
      <c r="L66" s="343"/>
      <c r="M66" s="343"/>
      <c r="N66" s="9"/>
      <c r="O66" s="343"/>
    </row>
    <row r="67" spans="2:15" x14ac:dyDescent="0.3">
      <c r="B67" s="127" t="s">
        <v>474</v>
      </c>
      <c r="C67" s="9"/>
      <c r="D67" s="9"/>
      <c r="E67" s="9"/>
      <c r="F67" s="9"/>
      <c r="G67" s="9"/>
      <c r="H67" s="9"/>
      <c r="I67" s="9"/>
      <c r="J67" s="9"/>
      <c r="K67" s="343"/>
      <c r="L67" s="343"/>
      <c r="M67" s="343"/>
      <c r="N67" s="9"/>
      <c r="O67" s="343"/>
    </row>
  </sheetData>
  <mergeCells count="49">
    <mergeCell ref="O61:O63"/>
    <mergeCell ref="D33:H33"/>
    <mergeCell ref="K61:N61"/>
    <mergeCell ref="T10:T12"/>
    <mergeCell ref="S10:S12"/>
    <mergeCell ref="K10:K12"/>
    <mergeCell ref="M10:M12"/>
    <mergeCell ref="O10:O12"/>
    <mergeCell ref="Q10:Q12"/>
    <mergeCell ref="L10:L12"/>
    <mergeCell ref="N10:N12"/>
    <mergeCell ref="P10:P12"/>
    <mergeCell ref="R10:R12"/>
    <mergeCell ref="D24:I24"/>
    <mergeCell ref="U7:U9"/>
    <mergeCell ref="K7:T7"/>
    <mergeCell ref="K8:L8"/>
    <mergeCell ref="M8:N8"/>
    <mergeCell ref="O8:P8"/>
    <mergeCell ref="Q8:R8"/>
    <mergeCell ref="S8:T8"/>
    <mergeCell ref="B1:M1"/>
    <mergeCell ref="B2:M2"/>
    <mergeCell ref="B3:M3"/>
    <mergeCell ref="B5:P5"/>
    <mergeCell ref="B7:B9"/>
    <mergeCell ref="C7:C9"/>
    <mergeCell ref="D7:H7"/>
    <mergeCell ref="I7:I8"/>
    <mergeCell ref="B61:B63"/>
    <mergeCell ref="C61:C63"/>
    <mergeCell ref="B59:J59"/>
    <mergeCell ref="B31:J31"/>
    <mergeCell ref="B33:B35"/>
    <mergeCell ref="C33:C35"/>
    <mergeCell ref="I33:I35"/>
    <mergeCell ref="B24:B26"/>
    <mergeCell ref="C24:C26"/>
    <mergeCell ref="J10:J12"/>
    <mergeCell ref="D10:D13"/>
    <mergeCell ref="E10:E13"/>
    <mergeCell ref="F10:F13"/>
    <mergeCell ref="G10:G13"/>
    <mergeCell ref="H10:H13"/>
    <mergeCell ref="D25:E25"/>
    <mergeCell ref="F25:G25"/>
    <mergeCell ref="H25:I25"/>
    <mergeCell ref="J24:N24"/>
    <mergeCell ref="I10:I13"/>
  </mergeCells>
  <pageMargins left="0.70866141732283472" right="0.70866141732283472" top="0.74803149606299213" bottom="0.74803149606299213" header="0.31496062992125984" footer="0.31496062992125984"/>
  <pageSetup paperSize="9" scale="35"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2:O79"/>
  <sheetViews>
    <sheetView showGridLines="0" view="pageBreakPreview" zoomScale="75" zoomScaleNormal="75" zoomScaleSheetLayoutView="75" workbookViewId="0">
      <pane xSplit="3" ySplit="10" topLeftCell="D68" activePane="bottomRight" state="frozen"/>
      <selection activeCell="K58" sqref="K58"/>
      <selection pane="topRight" activeCell="K58" sqref="K58"/>
      <selection pane="bottomLeft" activeCell="K58" sqref="K58"/>
      <selection pane="bottomRight" activeCell="H52" sqref="H52"/>
    </sheetView>
  </sheetViews>
  <sheetFormatPr defaultColWidth="9.36328125" defaultRowHeight="14" x14ac:dyDescent="0.25"/>
  <cols>
    <col min="1" max="1" width="6.6328125" style="14" customWidth="1"/>
    <col min="2" max="2" width="7" style="14" customWidth="1"/>
    <col min="3" max="3" width="47.81640625" style="14" bestFit="1" customWidth="1"/>
    <col min="4" max="4" width="22.90625" style="14" customWidth="1"/>
    <col min="5" max="5" width="16.6328125" style="14" customWidth="1"/>
    <col min="6" max="7" width="14.453125" style="14" customWidth="1"/>
    <col min="8" max="13" width="18" style="14" customWidth="1"/>
    <col min="14" max="14" width="13.6328125" style="14" customWidth="1"/>
    <col min="15" max="15" width="13.54296875" style="14" customWidth="1"/>
    <col min="16" max="16384" width="9.36328125" style="14"/>
  </cols>
  <sheetData>
    <row r="2" spans="2:15" x14ac:dyDescent="0.25">
      <c r="B2" s="1598" t="str">
        <f>Index!B2</f>
        <v xml:space="preserve">      Maharashtra State Power Generation Company Ltd.</v>
      </c>
      <c r="C2" s="1649"/>
      <c r="D2" s="1649"/>
      <c r="E2" s="1649"/>
      <c r="F2" s="1649"/>
      <c r="G2" s="1649"/>
      <c r="H2" s="1649"/>
      <c r="I2" s="641"/>
      <c r="J2" s="641"/>
      <c r="K2" s="641"/>
      <c r="L2" s="641"/>
      <c r="M2" s="641"/>
    </row>
    <row r="3" spans="2:15" s="5" customFormat="1" x14ac:dyDescent="0.3">
      <c r="B3" s="1598" t="str">
        <f>Index!B3</f>
        <v>MYT Petition Formats for Bhusawal Unit 3</v>
      </c>
      <c r="C3" s="1649"/>
      <c r="D3" s="1649"/>
      <c r="E3" s="1649"/>
      <c r="F3" s="1649"/>
      <c r="G3" s="1649"/>
      <c r="H3" s="1649"/>
      <c r="I3" s="641"/>
      <c r="J3" s="641"/>
      <c r="K3" s="641"/>
      <c r="L3" s="641"/>
      <c r="M3" s="641"/>
    </row>
    <row r="4" spans="2:15" s="5" customFormat="1" x14ac:dyDescent="0.3">
      <c r="B4" s="1599" t="s">
        <v>187</v>
      </c>
      <c r="C4" s="1649"/>
      <c r="D4" s="1649"/>
      <c r="E4" s="1649"/>
      <c r="F4" s="1649"/>
      <c r="G4" s="1649"/>
      <c r="H4" s="1649"/>
      <c r="I4" s="641"/>
      <c r="J4" s="641"/>
      <c r="K4" s="641"/>
      <c r="L4" s="641"/>
      <c r="M4" s="641"/>
    </row>
    <row r="5" spans="2:15" s="5" customFormat="1" x14ac:dyDescent="0.3">
      <c r="C5" s="19"/>
      <c r="D5" s="19"/>
      <c r="E5" s="19"/>
      <c r="F5" s="18"/>
      <c r="G5" s="18"/>
      <c r="H5" s="18"/>
      <c r="I5" s="18"/>
      <c r="J5" s="18"/>
      <c r="K5" s="18"/>
      <c r="L5" s="18"/>
      <c r="M5" s="18"/>
    </row>
    <row r="6" spans="2:15" x14ac:dyDescent="0.25">
      <c r="B6" s="22" t="s">
        <v>188</v>
      </c>
    </row>
    <row r="7" spans="2:15" x14ac:dyDescent="0.25">
      <c r="H7" s="21" t="s">
        <v>10</v>
      </c>
      <c r="I7" s="21"/>
      <c r="J7" s="21"/>
      <c r="K7" s="21"/>
      <c r="L7" s="21"/>
    </row>
    <row r="8" spans="2:15" ht="12.75" customHeight="1" x14ac:dyDescent="0.25">
      <c r="B8" s="1603" t="s">
        <v>6</v>
      </c>
      <c r="C8" s="1603" t="s">
        <v>38</v>
      </c>
      <c r="D8" s="130" t="s">
        <v>505</v>
      </c>
      <c r="E8" s="287" t="s">
        <v>506</v>
      </c>
      <c r="F8" s="1593" t="s">
        <v>507</v>
      </c>
      <c r="G8" s="1593"/>
      <c r="H8" s="1593"/>
      <c r="I8" s="1735"/>
      <c r="J8" s="1735"/>
      <c r="K8" s="1735"/>
      <c r="L8" s="1735"/>
      <c r="M8" s="1735"/>
      <c r="N8" s="52"/>
      <c r="O8" s="1733"/>
    </row>
    <row r="9" spans="2:15" ht="28" x14ac:dyDescent="0.25">
      <c r="B9" s="1603"/>
      <c r="C9" s="1603"/>
      <c r="D9" s="130" t="s">
        <v>80</v>
      </c>
      <c r="E9" s="287" t="s">
        <v>80</v>
      </c>
      <c r="F9" s="1125" t="s">
        <v>444</v>
      </c>
      <c r="G9" s="1125" t="s">
        <v>447</v>
      </c>
      <c r="H9" s="1125" t="s">
        <v>81</v>
      </c>
      <c r="I9" s="1133"/>
      <c r="J9" s="1133"/>
      <c r="K9" s="1133"/>
      <c r="L9" s="1133"/>
      <c r="M9" s="1133"/>
      <c r="N9" s="12"/>
      <c r="O9" s="1733"/>
    </row>
    <row r="10" spans="2:15" x14ac:dyDescent="0.25">
      <c r="B10" s="1734"/>
      <c r="C10" s="1603"/>
      <c r="D10" s="130" t="s">
        <v>82</v>
      </c>
      <c r="E10" s="287" t="s">
        <v>83</v>
      </c>
      <c r="F10" s="1125" t="s">
        <v>391</v>
      </c>
      <c r="G10" s="1125" t="s">
        <v>392</v>
      </c>
      <c r="H10" s="1125" t="s">
        <v>393</v>
      </c>
      <c r="I10" s="1131"/>
      <c r="J10" s="1131"/>
      <c r="K10" s="1131"/>
      <c r="L10" s="1131"/>
      <c r="M10" s="1131"/>
      <c r="N10" s="12"/>
      <c r="O10" s="1733"/>
    </row>
    <row r="11" spans="2:15" x14ac:dyDescent="0.3">
      <c r="B11" s="94">
        <v>1</v>
      </c>
      <c r="C11" s="9" t="s">
        <v>189</v>
      </c>
      <c r="D11" s="343">
        <v>37.161729883754923</v>
      </c>
      <c r="E11" s="343">
        <v>44.952300942096265</v>
      </c>
      <c r="F11" s="343">
        <v>28.501388454061164</v>
      </c>
      <c r="G11" s="343">
        <v>29.679131778609147</v>
      </c>
      <c r="H11" s="302">
        <f t="shared" ref="H11:H35" si="0">F11+G11</f>
        <v>58.180520232670311</v>
      </c>
      <c r="I11" s="321"/>
      <c r="J11" s="321"/>
      <c r="K11" s="321"/>
      <c r="L11" s="321"/>
      <c r="M11" s="321"/>
      <c r="N11" s="59"/>
      <c r="O11" s="59"/>
    </row>
    <row r="12" spans="2:15" x14ac:dyDescent="0.3">
      <c r="B12" s="94">
        <v>2</v>
      </c>
      <c r="C12" s="9" t="s">
        <v>190</v>
      </c>
      <c r="D12" s="343">
        <v>12.307544882997904</v>
      </c>
      <c r="E12" s="343">
        <v>15.287006174283571</v>
      </c>
      <c r="F12" s="343">
        <v>11.453547352267536</v>
      </c>
      <c r="G12" s="343">
        <v>11.926834432939749</v>
      </c>
      <c r="H12" s="302">
        <f t="shared" si="0"/>
        <v>23.380381785207284</v>
      </c>
      <c r="I12" s="321"/>
      <c r="J12" s="321"/>
      <c r="K12" s="321"/>
      <c r="L12" s="321"/>
      <c r="M12" s="321"/>
      <c r="N12" s="59"/>
      <c r="O12" s="59"/>
    </row>
    <row r="13" spans="2:15" x14ac:dyDescent="0.25">
      <c r="B13" s="94">
        <v>3</v>
      </c>
      <c r="C13" s="24" t="s">
        <v>829</v>
      </c>
      <c r="D13" s="302">
        <v>4.4125045787731292</v>
      </c>
      <c r="E13" s="302">
        <v>4.9591988280382315</v>
      </c>
      <c r="F13" s="302">
        <v>2.6310849148248581</v>
      </c>
      <c r="G13" s="302">
        <v>2.7398074319663812</v>
      </c>
      <c r="H13" s="302">
        <f t="shared" si="0"/>
        <v>5.3708923467912388</v>
      </c>
      <c r="I13" s="321"/>
      <c r="J13" s="321"/>
      <c r="K13" s="321"/>
      <c r="L13" s="321"/>
      <c r="M13" s="321"/>
      <c r="N13" s="59"/>
      <c r="O13" s="59"/>
    </row>
    <row r="14" spans="2:15" x14ac:dyDescent="0.3">
      <c r="B14" s="94">
        <v>4</v>
      </c>
      <c r="C14" s="9" t="s">
        <v>191</v>
      </c>
      <c r="D14" s="343"/>
      <c r="E14" s="343"/>
      <c r="F14" s="343"/>
      <c r="G14" s="343"/>
      <c r="H14" s="302">
        <f t="shared" si="0"/>
        <v>0</v>
      </c>
      <c r="I14" s="321"/>
      <c r="J14" s="321"/>
      <c r="K14" s="321"/>
      <c r="L14" s="321"/>
      <c r="M14" s="321"/>
      <c r="N14" s="59"/>
      <c r="O14" s="59"/>
    </row>
    <row r="15" spans="2:15" x14ac:dyDescent="0.3">
      <c r="B15" s="94">
        <v>5</v>
      </c>
      <c r="C15" s="9" t="s">
        <v>192</v>
      </c>
      <c r="D15" s="343"/>
      <c r="E15" s="343"/>
      <c r="F15" s="343"/>
      <c r="G15" s="343"/>
      <c r="H15" s="302">
        <f t="shared" si="0"/>
        <v>0</v>
      </c>
      <c r="I15" s="321"/>
      <c r="J15" s="321"/>
      <c r="K15" s="321"/>
      <c r="L15" s="321"/>
      <c r="M15" s="321"/>
      <c r="N15" s="59"/>
      <c r="O15" s="59"/>
    </row>
    <row r="16" spans="2:15" x14ac:dyDescent="0.25">
      <c r="B16" s="94">
        <v>6</v>
      </c>
      <c r="C16" s="24" t="s">
        <v>193</v>
      </c>
      <c r="D16" s="302">
        <v>6.0747261452108106</v>
      </c>
      <c r="E16" s="302">
        <v>17.926234174302525</v>
      </c>
      <c r="F16" s="302">
        <v>2.8088177251065951</v>
      </c>
      <c r="G16" s="302">
        <v>2.9248845732514961</v>
      </c>
      <c r="H16" s="302">
        <f t="shared" si="0"/>
        <v>5.7337022983580912</v>
      </c>
      <c r="I16" s="321"/>
      <c r="J16" s="321"/>
      <c r="K16" s="321"/>
      <c r="L16" s="321"/>
      <c r="M16" s="321"/>
      <c r="N16" s="59"/>
      <c r="O16" s="59"/>
    </row>
    <row r="17" spans="2:15" x14ac:dyDescent="0.3">
      <c r="B17" s="94">
        <v>7</v>
      </c>
      <c r="C17" s="9" t="s">
        <v>194</v>
      </c>
      <c r="D17" s="343"/>
      <c r="E17" s="343"/>
      <c r="F17" s="343"/>
      <c r="G17" s="343"/>
      <c r="H17" s="302">
        <f t="shared" si="0"/>
        <v>0</v>
      </c>
      <c r="I17" s="321"/>
      <c r="J17" s="321"/>
      <c r="K17" s="321"/>
      <c r="L17" s="321"/>
      <c r="M17" s="321"/>
      <c r="N17" s="59"/>
      <c r="O17" s="59"/>
    </row>
    <row r="18" spans="2:15" x14ac:dyDescent="0.3">
      <c r="B18" s="94">
        <v>8</v>
      </c>
      <c r="C18" s="9" t="s">
        <v>195</v>
      </c>
      <c r="D18" s="343"/>
      <c r="E18" s="343"/>
      <c r="F18" s="343"/>
      <c r="G18" s="343"/>
      <c r="H18" s="302">
        <f t="shared" si="0"/>
        <v>0</v>
      </c>
      <c r="I18" s="321"/>
      <c r="J18" s="321"/>
      <c r="K18" s="321"/>
      <c r="L18" s="321"/>
      <c r="M18" s="321"/>
      <c r="N18" s="59"/>
      <c r="O18" s="59"/>
    </row>
    <row r="19" spans="2:15" x14ac:dyDescent="0.3">
      <c r="B19" s="94">
        <v>9</v>
      </c>
      <c r="C19" s="9" t="s">
        <v>196</v>
      </c>
      <c r="D19" s="343"/>
      <c r="E19" s="343"/>
      <c r="F19" s="343"/>
      <c r="G19" s="343"/>
      <c r="H19" s="302">
        <f t="shared" si="0"/>
        <v>0</v>
      </c>
      <c r="I19" s="321"/>
      <c r="J19" s="321"/>
      <c r="K19" s="321"/>
      <c r="L19" s="321"/>
      <c r="M19" s="321"/>
      <c r="N19" s="59"/>
      <c r="O19" s="59"/>
    </row>
    <row r="20" spans="2:15" x14ac:dyDescent="0.3">
      <c r="B20" s="94">
        <v>10</v>
      </c>
      <c r="C20" s="9" t="s">
        <v>197</v>
      </c>
      <c r="D20" s="343"/>
      <c r="E20" s="343"/>
      <c r="F20" s="343"/>
      <c r="G20" s="343"/>
      <c r="H20" s="302">
        <f t="shared" si="0"/>
        <v>0</v>
      </c>
      <c r="I20" s="321"/>
      <c r="J20" s="321"/>
      <c r="K20" s="321"/>
      <c r="L20" s="321"/>
      <c r="M20" s="321"/>
      <c r="N20" s="59"/>
      <c r="O20" s="59"/>
    </row>
    <row r="21" spans="2:15" x14ac:dyDescent="0.3">
      <c r="B21" s="94">
        <v>11</v>
      </c>
      <c r="C21" s="9" t="s">
        <v>198</v>
      </c>
      <c r="D21" s="343"/>
      <c r="E21" s="343"/>
      <c r="F21" s="343"/>
      <c r="G21" s="343"/>
      <c r="H21" s="302">
        <f t="shared" si="0"/>
        <v>0</v>
      </c>
      <c r="I21" s="321"/>
      <c r="J21" s="321"/>
      <c r="K21" s="321"/>
      <c r="L21" s="321"/>
      <c r="M21" s="321"/>
      <c r="N21" s="59"/>
      <c r="O21" s="59"/>
    </row>
    <row r="22" spans="2:15" x14ac:dyDescent="0.3">
      <c r="B22" s="94">
        <v>12</v>
      </c>
      <c r="C22" s="9" t="s">
        <v>199</v>
      </c>
      <c r="D22" s="343">
        <v>1.539752446731133</v>
      </c>
      <c r="E22" s="343">
        <v>1.0637015888386687</v>
      </c>
      <c r="F22" s="343">
        <v>0.5877084005588058</v>
      </c>
      <c r="G22" s="343">
        <v>0.61199387165627717</v>
      </c>
      <c r="H22" s="302">
        <f t="shared" si="0"/>
        <v>1.199702272215083</v>
      </c>
      <c r="I22" s="321"/>
      <c r="J22" s="321"/>
      <c r="K22" s="321"/>
      <c r="L22" s="321"/>
      <c r="M22" s="321"/>
      <c r="N22" s="59"/>
      <c r="O22" s="59"/>
    </row>
    <row r="23" spans="2:15" x14ac:dyDescent="0.3">
      <c r="B23" s="94">
        <v>13</v>
      </c>
      <c r="C23" s="9" t="s">
        <v>200</v>
      </c>
      <c r="D23" s="343"/>
      <c r="E23" s="343"/>
      <c r="F23" s="343"/>
      <c r="G23" s="343"/>
      <c r="H23" s="302">
        <f t="shared" si="0"/>
        <v>0</v>
      </c>
      <c r="I23" s="321"/>
      <c r="J23" s="321"/>
      <c r="K23" s="321"/>
      <c r="L23" s="321"/>
      <c r="M23" s="321"/>
      <c r="N23" s="59"/>
      <c r="O23" s="59"/>
    </row>
    <row r="24" spans="2:15" x14ac:dyDescent="0.3">
      <c r="B24" s="94">
        <v>14</v>
      </c>
      <c r="C24" s="9" t="s">
        <v>201</v>
      </c>
      <c r="D24" s="343"/>
      <c r="E24" s="343"/>
      <c r="F24" s="343"/>
      <c r="G24" s="343"/>
      <c r="H24" s="302">
        <f t="shared" si="0"/>
        <v>0</v>
      </c>
      <c r="I24" s="321"/>
      <c r="J24" s="321"/>
      <c r="K24" s="321"/>
      <c r="L24" s="321"/>
      <c r="M24" s="321"/>
      <c r="N24" s="59"/>
      <c r="O24" s="59"/>
    </row>
    <row r="25" spans="2:15" x14ac:dyDescent="0.3">
      <c r="B25" s="94">
        <v>15</v>
      </c>
      <c r="C25" s="9" t="s">
        <v>202</v>
      </c>
      <c r="D25" s="343"/>
      <c r="E25" s="343"/>
      <c r="F25" s="343"/>
      <c r="G25" s="343"/>
      <c r="H25" s="302">
        <f t="shared" si="0"/>
        <v>0</v>
      </c>
      <c r="I25" s="321"/>
      <c r="J25" s="321"/>
      <c r="K25" s="321"/>
      <c r="L25" s="321"/>
      <c r="M25" s="321"/>
      <c r="N25" s="59"/>
      <c r="O25" s="59"/>
    </row>
    <row r="26" spans="2:15" x14ac:dyDescent="0.3">
      <c r="B26" s="94">
        <v>16</v>
      </c>
      <c r="C26" s="9" t="s">
        <v>203</v>
      </c>
      <c r="D26" s="343"/>
      <c r="E26" s="343"/>
      <c r="F26" s="343"/>
      <c r="G26" s="343"/>
      <c r="H26" s="302">
        <f t="shared" si="0"/>
        <v>0</v>
      </c>
      <c r="I26" s="321"/>
      <c r="J26" s="321"/>
      <c r="K26" s="321"/>
      <c r="L26" s="321"/>
      <c r="M26" s="321"/>
      <c r="N26" s="59"/>
      <c r="O26" s="59"/>
    </row>
    <row r="27" spans="2:15" x14ac:dyDescent="0.3">
      <c r="B27" s="94">
        <v>17</v>
      </c>
      <c r="C27" s="9" t="s">
        <v>204</v>
      </c>
      <c r="D27" s="343"/>
      <c r="E27" s="343"/>
      <c r="F27" s="343"/>
      <c r="G27" s="343"/>
      <c r="H27" s="302">
        <f t="shared" si="0"/>
        <v>0</v>
      </c>
      <c r="I27" s="321"/>
      <c r="J27" s="321"/>
      <c r="K27" s="321"/>
      <c r="L27" s="321"/>
      <c r="M27" s="321"/>
      <c r="N27" s="59"/>
      <c r="O27" s="59"/>
    </row>
    <row r="28" spans="2:15" x14ac:dyDescent="0.3">
      <c r="B28" s="94">
        <v>18</v>
      </c>
      <c r="C28" s="9" t="s">
        <v>205</v>
      </c>
      <c r="D28" s="343"/>
      <c r="E28" s="343"/>
      <c r="F28" s="343"/>
      <c r="G28" s="343"/>
      <c r="H28" s="302">
        <f t="shared" si="0"/>
        <v>0</v>
      </c>
      <c r="I28" s="321"/>
      <c r="J28" s="321"/>
      <c r="K28" s="321"/>
      <c r="L28" s="321"/>
      <c r="M28" s="321"/>
      <c r="N28" s="59"/>
      <c r="O28" s="59"/>
    </row>
    <row r="29" spans="2:15" x14ac:dyDescent="0.3">
      <c r="B29" s="94">
        <f>+B28+0.1</f>
        <v>18.100000000000001</v>
      </c>
      <c r="C29" s="9" t="s">
        <v>206</v>
      </c>
      <c r="D29" s="343">
        <v>5.0482667348855372</v>
      </c>
      <c r="E29" s="343">
        <v>5.7728191662179631</v>
      </c>
      <c r="F29" s="343">
        <v>3.9936550317010799</v>
      </c>
      <c r="G29" s="343">
        <v>4.1586820991267448</v>
      </c>
      <c r="H29" s="302">
        <f t="shared" si="0"/>
        <v>8.1523371308278243</v>
      </c>
      <c r="I29" s="321"/>
      <c r="J29" s="321"/>
      <c r="K29" s="321"/>
      <c r="L29" s="321"/>
      <c r="M29" s="321"/>
      <c r="N29" s="59"/>
      <c r="O29" s="59"/>
    </row>
    <row r="30" spans="2:15" x14ac:dyDescent="0.3">
      <c r="B30" s="94">
        <f>+B29+0.1</f>
        <v>18.200000000000003</v>
      </c>
      <c r="C30" s="9" t="s">
        <v>207</v>
      </c>
      <c r="D30" s="343"/>
      <c r="E30" s="343"/>
      <c r="F30" s="343"/>
      <c r="G30" s="343"/>
      <c r="H30" s="302">
        <f t="shared" si="0"/>
        <v>0</v>
      </c>
      <c r="I30" s="321"/>
      <c r="J30" s="321"/>
      <c r="K30" s="321"/>
      <c r="L30" s="321"/>
      <c r="M30" s="321"/>
      <c r="N30" s="59"/>
      <c r="O30" s="59"/>
    </row>
    <row r="31" spans="2:15" x14ac:dyDescent="0.3">
      <c r="B31" s="94">
        <f>+B30+0.1</f>
        <v>18.300000000000004</v>
      </c>
      <c r="C31" s="9" t="s">
        <v>208</v>
      </c>
      <c r="D31" s="343"/>
      <c r="E31" s="343"/>
      <c r="F31" s="343"/>
      <c r="G31" s="343"/>
      <c r="H31" s="302">
        <f t="shared" si="0"/>
        <v>0</v>
      </c>
      <c r="I31" s="321"/>
      <c r="J31" s="321"/>
      <c r="K31" s="321"/>
      <c r="L31" s="321"/>
      <c r="M31" s="321"/>
      <c r="N31" s="59"/>
      <c r="O31" s="59"/>
    </row>
    <row r="32" spans="2:15" x14ac:dyDescent="0.3">
      <c r="B32" s="94">
        <f>+B31+0.1</f>
        <v>18.400000000000006</v>
      </c>
      <c r="C32" s="9" t="s">
        <v>209</v>
      </c>
      <c r="D32" s="343">
        <v>4.4614765148042173</v>
      </c>
      <c r="E32" s="343">
        <v>14.322494035472289</v>
      </c>
      <c r="F32" s="343">
        <v>0</v>
      </c>
      <c r="G32" s="343">
        <v>0</v>
      </c>
      <c r="H32" s="302">
        <f t="shared" si="0"/>
        <v>0</v>
      </c>
      <c r="I32" s="321"/>
      <c r="J32" s="321"/>
      <c r="K32" s="321"/>
      <c r="L32" s="321"/>
      <c r="M32" s="321"/>
      <c r="N32" s="59"/>
      <c r="O32" s="59"/>
    </row>
    <row r="33" spans="2:15" x14ac:dyDescent="0.3">
      <c r="B33" s="94">
        <v>19</v>
      </c>
      <c r="C33" s="9" t="s">
        <v>210</v>
      </c>
      <c r="D33" s="428">
        <v>4.3763067634496444E-2</v>
      </c>
      <c r="E33" s="428">
        <v>0</v>
      </c>
      <c r="F33" s="428">
        <v>0</v>
      </c>
      <c r="G33" s="428">
        <v>0</v>
      </c>
      <c r="H33" s="302">
        <f t="shared" si="0"/>
        <v>0</v>
      </c>
      <c r="I33" s="321"/>
      <c r="J33" s="321"/>
      <c r="K33" s="321"/>
      <c r="L33" s="321"/>
      <c r="M33" s="321"/>
      <c r="N33" s="59"/>
      <c r="O33" s="59"/>
    </row>
    <row r="34" spans="2:15" s="311" customFormat="1" x14ac:dyDescent="0.3">
      <c r="B34" s="234">
        <v>20</v>
      </c>
      <c r="C34" s="3" t="s">
        <v>804</v>
      </c>
      <c r="D34" s="428">
        <v>1.6245537580940572</v>
      </c>
      <c r="E34" s="428">
        <v>2.4707037682923154</v>
      </c>
      <c r="F34" s="428">
        <v>0.87571444422263445</v>
      </c>
      <c r="G34" s="428">
        <v>0.91190099150456128</v>
      </c>
      <c r="H34" s="302">
        <f t="shared" si="0"/>
        <v>1.7876154357271958</v>
      </c>
      <c r="I34" s="321"/>
      <c r="J34" s="321"/>
      <c r="K34" s="321"/>
      <c r="L34" s="321"/>
      <c r="M34" s="321"/>
      <c r="N34" s="59"/>
      <c r="O34" s="59"/>
    </row>
    <row r="35" spans="2:15" s="311" customFormat="1" x14ac:dyDescent="0.3">
      <c r="B35" s="234">
        <v>21</v>
      </c>
      <c r="C35" s="3" t="s">
        <v>806</v>
      </c>
      <c r="D35" s="428">
        <v>3.8371736884821228</v>
      </c>
      <c r="E35" s="428">
        <v>9.3160289395728579</v>
      </c>
      <c r="F35" s="428">
        <v>0</v>
      </c>
      <c r="G35" s="428">
        <v>0</v>
      </c>
      <c r="H35" s="302">
        <f t="shared" si="0"/>
        <v>0</v>
      </c>
      <c r="I35" s="321"/>
      <c r="J35" s="321"/>
      <c r="K35" s="321"/>
      <c r="L35" s="321"/>
      <c r="M35" s="321"/>
      <c r="N35" s="59"/>
      <c r="O35" s="59"/>
    </row>
    <row r="36" spans="2:15" s="311" customFormat="1" x14ac:dyDescent="0.3">
      <c r="B36" s="310">
        <f>B35+1</f>
        <v>22</v>
      </c>
      <c r="C36" s="4" t="s">
        <v>211</v>
      </c>
      <c r="D36" s="429">
        <f>SUM(D11:D35)</f>
        <v>76.511491701368342</v>
      </c>
      <c r="E36" s="429">
        <f t="shared" ref="E36:H36" si="1">SUM(E11:E35)</f>
        <v>116.07048761711467</v>
      </c>
      <c r="F36" s="429">
        <f t="shared" si="1"/>
        <v>50.851916322742674</v>
      </c>
      <c r="G36" s="429">
        <f t="shared" si="1"/>
        <v>52.953235179054353</v>
      </c>
      <c r="H36" s="429">
        <f t="shared" si="1"/>
        <v>103.80515150179701</v>
      </c>
      <c r="I36" s="676"/>
      <c r="J36" s="676"/>
      <c r="K36" s="676"/>
      <c r="L36" s="676"/>
      <c r="M36" s="676"/>
      <c r="N36" s="59"/>
      <c r="O36" s="59"/>
    </row>
    <row r="37" spans="2:15" s="311" customFormat="1" x14ac:dyDescent="0.3">
      <c r="B37" s="310">
        <f>B36+1</f>
        <v>23</v>
      </c>
      <c r="C37" s="3" t="s">
        <v>36</v>
      </c>
      <c r="D37" s="428"/>
      <c r="E37" s="428"/>
      <c r="F37" s="315"/>
      <c r="G37" s="315"/>
      <c r="H37" s="302">
        <f>F37+G37</f>
        <v>0</v>
      </c>
      <c r="I37" s="321"/>
      <c r="J37" s="321"/>
      <c r="K37" s="321"/>
      <c r="L37" s="321"/>
      <c r="M37" s="321"/>
      <c r="N37" s="59"/>
      <c r="O37" s="59"/>
    </row>
    <row r="38" spans="2:15" s="311" customFormat="1" x14ac:dyDescent="0.25">
      <c r="B38" s="310">
        <f>B37+1</f>
        <v>24</v>
      </c>
      <c r="C38" s="500" t="s">
        <v>212</v>
      </c>
      <c r="D38" s="358">
        <f t="shared" ref="D38:G38" si="2">D36-D37</f>
        <v>76.511491701368342</v>
      </c>
      <c r="E38" s="358">
        <f t="shared" si="2"/>
        <v>116.07048761711467</v>
      </c>
      <c r="F38" s="358">
        <f t="shared" si="2"/>
        <v>50.851916322742674</v>
      </c>
      <c r="G38" s="358">
        <f t="shared" si="2"/>
        <v>52.953235179054353</v>
      </c>
      <c r="H38" s="358">
        <f>H36-H37</f>
        <v>103.80515150179701</v>
      </c>
      <c r="I38" s="663"/>
      <c r="J38" s="663"/>
      <c r="K38" s="663"/>
      <c r="L38" s="663"/>
      <c r="M38" s="663"/>
      <c r="N38" s="59"/>
      <c r="O38" s="59"/>
    </row>
    <row r="39" spans="2:15" s="311" customFormat="1" x14ac:dyDescent="0.25">
      <c r="B39" s="588">
        <f>B38+1</f>
        <v>25</v>
      </c>
      <c r="C39" s="311" t="s">
        <v>1052</v>
      </c>
      <c r="D39" s="315">
        <f>SUM('F13'!P17:P19)</f>
        <v>0</v>
      </c>
      <c r="E39" s="315">
        <f>SUM('F13'!P46:P47)</f>
        <v>0</v>
      </c>
      <c r="F39" s="315"/>
      <c r="G39" s="315"/>
      <c r="H39" s="315"/>
      <c r="I39" s="321"/>
      <c r="J39" s="321"/>
      <c r="K39" s="321"/>
      <c r="L39" s="321"/>
      <c r="M39" s="321"/>
    </row>
    <row r="40" spans="2:15" s="311" customFormat="1" x14ac:dyDescent="0.25">
      <c r="B40" s="310">
        <f>B39+1</f>
        <v>26</v>
      </c>
      <c r="C40" s="237" t="s">
        <v>928</v>
      </c>
      <c r="D40" s="474">
        <f>SUM(D38:D39)</f>
        <v>76.511491701368342</v>
      </c>
      <c r="E40" s="474">
        <f t="shared" ref="E40:G40" si="3">SUM(E38:E39)</f>
        <v>116.07048761711467</v>
      </c>
      <c r="F40" s="474">
        <f t="shared" si="3"/>
        <v>50.851916322742674</v>
      </c>
      <c r="G40" s="474">
        <f t="shared" si="3"/>
        <v>52.953235179054353</v>
      </c>
      <c r="H40" s="474">
        <f>SUM(H38:H39)</f>
        <v>103.80515150179701</v>
      </c>
      <c r="I40" s="668"/>
      <c r="J40" s="668"/>
      <c r="K40" s="668"/>
      <c r="L40" s="668"/>
      <c r="M40" s="668"/>
    </row>
    <row r="41" spans="2:15" s="311" customFormat="1" x14ac:dyDescent="0.3">
      <c r="B41" s="550"/>
      <c r="D41" s="551"/>
      <c r="E41" s="551"/>
      <c r="H41" s="551"/>
      <c r="I41" s="551"/>
      <c r="J41" s="551"/>
      <c r="K41" s="551"/>
      <c r="L41" s="551"/>
      <c r="M41" s="551"/>
    </row>
    <row r="42" spans="2:15" x14ac:dyDescent="0.25">
      <c r="D42" s="481"/>
      <c r="E42" s="481"/>
    </row>
    <row r="43" spans="2:15" x14ac:dyDescent="0.25">
      <c r="B43" s="22" t="s">
        <v>213</v>
      </c>
    </row>
    <row r="44" spans="2:15" x14ac:dyDescent="0.25">
      <c r="H44" s="22" t="s">
        <v>604</v>
      </c>
      <c r="I44" s="22"/>
      <c r="J44" s="22"/>
      <c r="K44" s="22"/>
      <c r="L44" s="22"/>
    </row>
    <row r="45" spans="2:15" ht="15" customHeight="1" x14ac:dyDescent="0.25">
      <c r="B45" s="1603" t="s">
        <v>340</v>
      </c>
      <c r="C45" s="1603" t="s">
        <v>38</v>
      </c>
      <c r="D45" s="638" t="s">
        <v>505</v>
      </c>
      <c r="E45" s="638" t="s">
        <v>506</v>
      </c>
      <c r="F45" s="1593" t="s">
        <v>507</v>
      </c>
      <c r="G45" s="1593"/>
      <c r="H45" s="1593"/>
      <c r="I45" s="1735"/>
      <c r="J45" s="1735"/>
      <c r="K45" s="1735"/>
      <c r="L45" s="1735"/>
      <c r="M45" s="1735"/>
    </row>
    <row r="46" spans="2:15" ht="28" x14ac:dyDescent="0.25">
      <c r="B46" s="1603"/>
      <c r="C46" s="1603"/>
      <c r="D46" s="287" t="s">
        <v>80</v>
      </c>
      <c r="E46" s="287" t="s">
        <v>80</v>
      </c>
      <c r="F46" s="1120" t="s">
        <v>444</v>
      </c>
      <c r="G46" s="1120" t="s">
        <v>447</v>
      </c>
      <c r="H46" s="1120" t="s">
        <v>81</v>
      </c>
      <c r="I46" s="1122"/>
      <c r="J46" s="1122"/>
      <c r="K46" s="1122"/>
      <c r="L46" s="1122"/>
      <c r="M46" s="1122"/>
    </row>
    <row r="47" spans="2:15" x14ac:dyDescent="0.25">
      <c r="B47" s="1603"/>
      <c r="C47" s="1603"/>
      <c r="D47" s="287" t="s">
        <v>82</v>
      </c>
      <c r="E47" s="287" t="s">
        <v>83</v>
      </c>
      <c r="F47" s="1120" t="s">
        <v>391</v>
      </c>
      <c r="G47" s="1120" t="s">
        <v>392</v>
      </c>
      <c r="H47" s="1120" t="s">
        <v>393</v>
      </c>
      <c r="I47" s="1121"/>
      <c r="J47" s="1121"/>
      <c r="K47" s="1121"/>
      <c r="L47" s="1121"/>
      <c r="M47" s="1121"/>
    </row>
    <row r="48" spans="2:15" x14ac:dyDescent="0.25">
      <c r="B48" s="24"/>
      <c r="C48" s="24"/>
      <c r="D48" s="24"/>
      <c r="E48" s="24"/>
      <c r="F48" s="24"/>
      <c r="G48" s="24"/>
      <c r="H48" s="24"/>
      <c r="I48" s="59"/>
      <c r="J48" s="59"/>
      <c r="K48" s="59"/>
      <c r="L48" s="59"/>
      <c r="M48" s="59"/>
    </row>
    <row r="49" spans="2:13" x14ac:dyDescent="0.25">
      <c r="B49" s="95" t="s">
        <v>173</v>
      </c>
      <c r="C49" s="27" t="s">
        <v>214</v>
      </c>
      <c r="D49" s="322"/>
      <c r="E49" s="322"/>
      <c r="F49" s="302"/>
      <c r="G49" s="302"/>
      <c r="H49" s="302"/>
      <c r="I49" s="321"/>
      <c r="J49" s="321"/>
      <c r="K49" s="321"/>
      <c r="L49" s="321"/>
      <c r="M49" s="321"/>
    </row>
    <row r="50" spans="2:13" x14ac:dyDescent="0.25">
      <c r="B50" s="90">
        <v>1</v>
      </c>
      <c r="C50" s="174" t="s">
        <v>215</v>
      </c>
      <c r="D50" s="783">
        <v>21</v>
      </c>
      <c r="E50" s="783">
        <v>25</v>
      </c>
      <c r="F50" s="783">
        <f>E50</f>
        <v>25</v>
      </c>
      <c r="G50" s="783">
        <f>E50</f>
        <v>25</v>
      </c>
      <c r="H50" s="783">
        <f>E50</f>
        <v>25</v>
      </c>
      <c r="I50" s="321"/>
      <c r="J50" s="321"/>
      <c r="K50" s="321"/>
      <c r="L50" s="321"/>
      <c r="M50" s="321"/>
    </row>
    <row r="51" spans="2:13" x14ac:dyDescent="0.25">
      <c r="B51" s="90">
        <v>2</v>
      </c>
      <c r="C51" s="174" t="s">
        <v>216</v>
      </c>
      <c r="D51" s="783">
        <v>3</v>
      </c>
      <c r="E51" s="783">
        <v>3</v>
      </c>
      <c r="F51" s="783">
        <f t="shared" ref="F51:F78" si="4">E51</f>
        <v>3</v>
      </c>
      <c r="G51" s="783">
        <f t="shared" ref="G51:G78" si="5">E51</f>
        <v>3</v>
      </c>
      <c r="H51" s="783">
        <f t="shared" ref="H51:H78" si="6">E51</f>
        <v>3</v>
      </c>
      <c r="I51" s="321"/>
      <c r="J51" s="321"/>
      <c r="K51" s="321"/>
      <c r="L51" s="321"/>
      <c r="M51" s="321"/>
    </row>
    <row r="52" spans="2:13" x14ac:dyDescent="0.25">
      <c r="B52" s="90">
        <v>3</v>
      </c>
      <c r="C52" s="174" t="s">
        <v>217</v>
      </c>
      <c r="D52" s="783">
        <v>5</v>
      </c>
      <c r="E52" s="783">
        <v>6</v>
      </c>
      <c r="F52" s="783">
        <f t="shared" si="4"/>
        <v>6</v>
      </c>
      <c r="G52" s="783">
        <f t="shared" si="5"/>
        <v>6</v>
      </c>
      <c r="H52" s="783">
        <f t="shared" si="6"/>
        <v>6</v>
      </c>
      <c r="I52" s="321"/>
      <c r="J52" s="321"/>
      <c r="K52" s="321"/>
      <c r="L52" s="321"/>
      <c r="M52" s="321"/>
    </row>
    <row r="53" spans="2:13" x14ac:dyDescent="0.25">
      <c r="B53" s="90">
        <v>4</v>
      </c>
      <c r="C53" s="174" t="s">
        <v>218</v>
      </c>
      <c r="D53" s="783">
        <v>17</v>
      </c>
      <c r="E53" s="783">
        <v>26</v>
      </c>
      <c r="F53" s="783">
        <f t="shared" si="4"/>
        <v>26</v>
      </c>
      <c r="G53" s="783">
        <f t="shared" si="5"/>
        <v>26</v>
      </c>
      <c r="H53" s="783">
        <f t="shared" si="6"/>
        <v>26</v>
      </c>
      <c r="I53" s="321"/>
      <c r="J53" s="321"/>
      <c r="K53" s="321"/>
      <c r="L53" s="321"/>
      <c r="M53" s="321"/>
    </row>
    <row r="54" spans="2:13" x14ac:dyDescent="0.25">
      <c r="B54" s="90"/>
      <c r="C54" s="174"/>
      <c r="D54" s="784"/>
      <c r="E54" s="784"/>
      <c r="F54" s="783">
        <f t="shared" si="4"/>
        <v>0</v>
      </c>
      <c r="G54" s="783">
        <f t="shared" si="5"/>
        <v>0</v>
      </c>
      <c r="H54" s="783">
        <f t="shared" si="6"/>
        <v>0</v>
      </c>
      <c r="I54" s="321"/>
      <c r="J54" s="321"/>
      <c r="K54" s="321"/>
      <c r="L54" s="321"/>
      <c r="M54" s="321"/>
    </row>
    <row r="55" spans="2:13" x14ac:dyDescent="0.25">
      <c r="B55" s="175" t="s">
        <v>185</v>
      </c>
      <c r="C55" s="142" t="s">
        <v>219</v>
      </c>
      <c r="D55" s="785"/>
      <c r="E55" s="785"/>
      <c r="F55" s="783">
        <f t="shared" si="4"/>
        <v>0</v>
      </c>
      <c r="G55" s="783">
        <f t="shared" si="5"/>
        <v>0</v>
      </c>
      <c r="H55" s="783">
        <f t="shared" si="6"/>
        <v>0</v>
      </c>
      <c r="I55" s="321"/>
      <c r="J55" s="321"/>
      <c r="K55" s="321"/>
      <c r="L55" s="321"/>
      <c r="M55" s="321"/>
    </row>
    <row r="56" spans="2:13" x14ac:dyDescent="0.25">
      <c r="B56" s="90">
        <v>5</v>
      </c>
      <c r="C56" s="142" t="s">
        <v>215</v>
      </c>
      <c r="D56" s="783"/>
      <c r="E56" s="783"/>
      <c r="F56" s="783">
        <f t="shared" si="4"/>
        <v>0</v>
      </c>
      <c r="G56" s="783">
        <f t="shared" si="5"/>
        <v>0</v>
      </c>
      <c r="H56" s="783">
        <f t="shared" si="6"/>
        <v>0</v>
      </c>
      <c r="I56" s="321"/>
      <c r="J56" s="321"/>
      <c r="K56" s="321"/>
      <c r="L56" s="321"/>
      <c r="M56" s="321"/>
    </row>
    <row r="57" spans="2:13" x14ac:dyDescent="0.25">
      <c r="B57" s="90">
        <f>+B56+0.1</f>
        <v>5.0999999999999996</v>
      </c>
      <c r="C57" s="174" t="s">
        <v>220</v>
      </c>
      <c r="D57" s="783">
        <v>21</v>
      </c>
      <c r="E57" s="783">
        <v>25</v>
      </c>
      <c r="F57" s="783">
        <f t="shared" si="4"/>
        <v>25</v>
      </c>
      <c r="G57" s="783">
        <f t="shared" si="5"/>
        <v>25</v>
      </c>
      <c r="H57" s="783">
        <f t="shared" si="6"/>
        <v>25</v>
      </c>
      <c r="I57" s="321"/>
      <c r="J57" s="321"/>
      <c r="K57" s="321"/>
      <c r="L57" s="321"/>
      <c r="M57" s="321"/>
    </row>
    <row r="58" spans="2:13" x14ac:dyDescent="0.25">
      <c r="B58" s="90">
        <f>+B57+0.1</f>
        <v>5.1999999999999993</v>
      </c>
      <c r="C58" s="174" t="s">
        <v>221</v>
      </c>
      <c r="D58" s="783">
        <v>47</v>
      </c>
      <c r="E58" s="783">
        <v>71</v>
      </c>
      <c r="F58" s="783">
        <f t="shared" si="4"/>
        <v>71</v>
      </c>
      <c r="G58" s="783">
        <f t="shared" si="5"/>
        <v>71</v>
      </c>
      <c r="H58" s="783">
        <f t="shared" si="6"/>
        <v>71</v>
      </c>
      <c r="I58" s="321"/>
      <c r="J58" s="321"/>
      <c r="K58" s="321"/>
      <c r="L58" s="321"/>
      <c r="M58" s="321"/>
    </row>
    <row r="59" spans="2:13" x14ac:dyDescent="0.25">
      <c r="B59" s="90">
        <f>+B58+0.1</f>
        <v>5.2999999999999989</v>
      </c>
      <c r="C59" s="174" t="s">
        <v>222</v>
      </c>
      <c r="D59" s="783">
        <v>189</v>
      </c>
      <c r="E59" s="783">
        <v>163</v>
      </c>
      <c r="F59" s="783">
        <f t="shared" si="4"/>
        <v>163</v>
      </c>
      <c r="G59" s="783">
        <f t="shared" si="5"/>
        <v>163</v>
      </c>
      <c r="H59" s="783">
        <f t="shared" si="6"/>
        <v>163</v>
      </c>
      <c r="I59" s="321"/>
      <c r="J59" s="321"/>
      <c r="K59" s="321"/>
      <c r="L59" s="321"/>
      <c r="M59" s="321"/>
    </row>
    <row r="60" spans="2:13" x14ac:dyDescent="0.25">
      <c r="B60" s="90">
        <f>+B59+0.1</f>
        <v>5.3999999999999986</v>
      </c>
      <c r="C60" s="174" t="s">
        <v>223</v>
      </c>
      <c r="D60" s="784">
        <v>0</v>
      </c>
      <c r="E60" s="784">
        <v>11</v>
      </c>
      <c r="F60" s="783">
        <f t="shared" si="4"/>
        <v>11</v>
      </c>
      <c r="G60" s="783">
        <f t="shared" si="5"/>
        <v>11</v>
      </c>
      <c r="H60" s="783">
        <f t="shared" si="6"/>
        <v>11</v>
      </c>
      <c r="I60" s="321"/>
      <c r="J60" s="321"/>
      <c r="K60" s="321"/>
      <c r="L60" s="321"/>
      <c r="M60" s="321"/>
    </row>
    <row r="61" spans="2:13" x14ac:dyDescent="0.25">
      <c r="B61" s="90"/>
      <c r="C61" s="174"/>
      <c r="D61" s="785"/>
      <c r="E61" s="785"/>
      <c r="F61" s="783">
        <f t="shared" si="4"/>
        <v>0</v>
      </c>
      <c r="G61" s="783">
        <f t="shared" si="5"/>
        <v>0</v>
      </c>
      <c r="H61" s="783">
        <f t="shared" si="6"/>
        <v>0</v>
      </c>
      <c r="I61" s="321"/>
      <c r="J61" s="321"/>
      <c r="K61" s="321"/>
      <c r="L61" s="321"/>
      <c r="M61" s="321"/>
    </row>
    <row r="62" spans="2:13" x14ac:dyDescent="0.25">
      <c r="B62" s="90">
        <v>6</v>
      </c>
      <c r="C62" s="142" t="s">
        <v>216</v>
      </c>
      <c r="D62" s="783"/>
      <c r="E62" s="783"/>
      <c r="F62" s="783">
        <f t="shared" si="4"/>
        <v>0</v>
      </c>
      <c r="G62" s="783">
        <f t="shared" si="5"/>
        <v>0</v>
      </c>
      <c r="H62" s="783">
        <f t="shared" si="6"/>
        <v>0</v>
      </c>
      <c r="I62" s="321"/>
      <c r="J62" s="321"/>
      <c r="K62" s="321"/>
      <c r="L62" s="321"/>
      <c r="M62" s="321"/>
    </row>
    <row r="63" spans="2:13" x14ac:dyDescent="0.25">
      <c r="B63" s="90">
        <f>+B62+0.1</f>
        <v>6.1</v>
      </c>
      <c r="C63" s="174" t="s">
        <v>220</v>
      </c>
      <c r="D63" s="783">
        <v>5</v>
      </c>
      <c r="E63" s="783">
        <v>5</v>
      </c>
      <c r="F63" s="783">
        <f t="shared" si="4"/>
        <v>5</v>
      </c>
      <c r="G63" s="783">
        <f t="shared" si="5"/>
        <v>5</v>
      </c>
      <c r="H63" s="783">
        <f t="shared" si="6"/>
        <v>5</v>
      </c>
      <c r="I63" s="321"/>
      <c r="J63" s="321"/>
      <c r="K63" s="321"/>
      <c r="L63" s="321"/>
      <c r="M63" s="321"/>
    </row>
    <row r="64" spans="2:13" x14ac:dyDescent="0.25">
      <c r="B64" s="90">
        <f>+B63+0.1</f>
        <v>6.1999999999999993</v>
      </c>
      <c r="C64" s="174" t="s">
        <v>221</v>
      </c>
      <c r="D64" s="783">
        <v>2</v>
      </c>
      <c r="E64" s="783">
        <v>1</v>
      </c>
      <c r="F64" s="783">
        <f t="shared" si="4"/>
        <v>1</v>
      </c>
      <c r="G64" s="783">
        <f t="shared" si="5"/>
        <v>1</v>
      </c>
      <c r="H64" s="783">
        <f t="shared" si="6"/>
        <v>1</v>
      </c>
      <c r="I64" s="321"/>
      <c r="J64" s="321"/>
      <c r="K64" s="321"/>
      <c r="L64" s="321"/>
      <c r="M64" s="321"/>
    </row>
    <row r="65" spans="2:13" x14ac:dyDescent="0.25">
      <c r="B65" s="90">
        <f>+B64+0.1</f>
        <v>6.2999999999999989</v>
      </c>
      <c r="C65" s="174" t="s">
        <v>222</v>
      </c>
      <c r="D65" s="783">
        <v>22</v>
      </c>
      <c r="E65" s="783">
        <v>22</v>
      </c>
      <c r="F65" s="783">
        <f t="shared" si="4"/>
        <v>22</v>
      </c>
      <c r="G65" s="783">
        <f t="shared" si="5"/>
        <v>22</v>
      </c>
      <c r="H65" s="783">
        <f t="shared" si="6"/>
        <v>22</v>
      </c>
      <c r="I65" s="321"/>
      <c r="J65" s="321"/>
      <c r="K65" s="321"/>
      <c r="L65" s="321"/>
      <c r="M65" s="321"/>
    </row>
    <row r="66" spans="2:13" x14ac:dyDescent="0.25">
      <c r="B66" s="90">
        <f>+B65+0.1</f>
        <v>6.3999999999999986</v>
      </c>
      <c r="C66" s="174" t="s">
        <v>223</v>
      </c>
      <c r="D66" s="783">
        <v>15</v>
      </c>
      <c r="E66" s="783">
        <v>15</v>
      </c>
      <c r="F66" s="783">
        <f t="shared" si="4"/>
        <v>15</v>
      </c>
      <c r="G66" s="783">
        <f t="shared" si="5"/>
        <v>15</v>
      </c>
      <c r="H66" s="783">
        <f t="shared" si="6"/>
        <v>15</v>
      </c>
      <c r="I66" s="321"/>
      <c r="J66" s="321"/>
      <c r="K66" s="321"/>
      <c r="L66" s="321"/>
      <c r="M66" s="321"/>
    </row>
    <row r="67" spans="2:13" x14ac:dyDescent="0.25">
      <c r="B67" s="90"/>
      <c r="C67" s="174"/>
      <c r="D67" s="785"/>
      <c r="E67" s="785"/>
      <c r="F67" s="783">
        <f t="shared" si="4"/>
        <v>0</v>
      </c>
      <c r="G67" s="783">
        <f t="shared" si="5"/>
        <v>0</v>
      </c>
      <c r="H67" s="783">
        <f t="shared" si="6"/>
        <v>0</v>
      </c>
      <c r="I67" s="321"/>
      <c r="J67" s="321"/>
      <c r="K67" s="321"/>
      <c r="L67" s="321"/>
      <c r="M67" s="321"/>
    </row>
    <row r="68" spans="2:13" x14ac:dyDescent="0.25">
      <c r="B68" s="90">
        <v>7</v>
      </c>
      <c r="C68" s="142" t="s">
        <v>217</v>
      </c>
      <c r="D68" s="783"/>
      <c r="E68" s="783"/>
      <c r="F68" s="783">
        <f t="shared" si="4"/>
        <v>0</v>
      </c>
      <c r="G68" s="783">
        <f t="shared" si="5"/>
        <v>0</v>
      </c>
      <c r="H68" s="783">
        <f t="shared" si="6"/>
        <v>0</v>
      </c>
      <c r="I68" s="321"/>
      <c r="J68" s="321"/>
      <c r="K68" s="321"/>
      <c r="L68" s="321"/>
      <c r="M68" s="321"/>
    </row>
    <row r="69" spans="2:13" x14ac:dyDescent="0.25">
      <c r="B69" s="90">
        <f>+B68+0.1</f>
        <v>7.1</v>
      </c>
      <c r="C69" s="174" t="s">
        <v>220</v>
      </c>
      <c r="D69" s="783">
        <v>5</v>
      </c>
      <c r="E69" s="783">
        <v>6</v>
      </c>
      <c r="F69" s="783">
        <f t="shared" si="4"/>
        <v>6</v>
      </c>
      <c r="G69" s="783">
        <f t="shared" si="5"/>
        <v>6</v>
      </c>
      <c r="H69" s="783">
        <f t="shared" si="6"/>
        <v>6</v>
      </c>
      <c r="I69" s="321"/>
      <c r="J69" s="321"/>
      <c r="K69" s="321"/>
      <c r="L69" s="321"/>
      <c r="M69" s="321"/>
    </row>
    <row r="70" spans="2:13" x14ac:dyDescent="0.25">
      <c r="B70" s="90">
        <f>+B69+0.1</f>
        <v>7.1999999999999993</v>
      </c>
      <c r="C70" s="174" t="s">
        <v>221</v>
      </c>
      <c r="D70" s="783">
        <v>2</v>
      </c>
      <c r="E70" s="783">
        <v>4</v>
      </c>
      <c r="F70" s="783">
        <f t="shared" si="4"/>
        <v>4</v>
      </c>
      <c r="G70" s="783">
        <f t="shared" si="5"/>
        <v>4</v>
      </c>
      <c r="H70" s="783">
        <f t="shared" si="6"/>
        <v>4</v>
      </c>
      <c r="I70" s="321"/>
      <c r="J70" s="321"/>
      <c r="K70" s="321"/>
      <c r="L70" s="321"/>
      <c r="M70" s="321"/>
    </row>
    <row r="71" spans="2:13" x14ac:dyDescent="0.25">
      <c r="B71" s="90">
        <f>+B70+0.1</f>
        <v>7.2999999999999989</v>
      </c>
      <c r="C71" s="174" t="s">
        <v>222</v>
      </c>
      <c r="D71" s="783">
        <v>10</v>
      </c>
      <c r="E71" s="783">
        <v>13</v>
      </c>
      <c r="F71" s="783">
        <f t="shared" si="4"/>
        <v>13</v>
      </c>
      <c r="G71" s="783">
        <f t="shared" si="5"/>
        <v>13</v>
      </c>
      <c r="H71" s="783">
        <f t="shared" si="6"/>
        <v>13</v>
      </c>
      <c r="I71" s="321"/>
      <c r="J71" s="321"/>
      <c r="K71" s="321"/>
      <c r="L71" s="321"/>
      <c r="M71" s="321"/>
    </row>
    <row r="72" spans="2:13" x14ac:dyDescent="0.25">
      <c r="B72" s="90">
        <f>+B71+0.1</f>
        <v>7.3999999999999986</v>
      </c>
      <c r="C72" s="174" t="s">
        <v>223</v>
      </c>
      <c r="D72" s="783">
        <v>0</v>
      </c>
      <c r="E72" s="783">
        <v>0</v>
      </c>
      <c r="F72" s="783">
        <f t="shared" si="4"/>
        <v>0</v>
      </c>
      <c r="G72" s="783">
        <f t="shared" si="5"/>
        <v>0</v>
      </c>
      <c r="H72" s="783">
        <f t="shared" si="6"/>
        <v>0</v>
      </c>
      <c r="I72" s="321"/>
      <c r="J72" s="321"/>
      <c r="K72" s="321"/>
      <c r="L72" s="321"/>
      <c r="M72" s="321"/>
    </row>
    <row r="73" spans="2:13" x14ac:dyDescent="0.25">
      <c r="B73" s="90"/>
      <c r="C73" s="174"/>
      <c r="D73" s="784"/>
      <c r="E73" s="784"/>
      <c r="F73" s="783">
        <f t="shared" si="4"/>
        <v>0</v>
      </c>
      <c r="G73" s="783">
        <f t="shared" si="5"/>
        <v>0</v>
      </c>
      <c r="H73" s="783">
        <f t="shared" si="6"/>
        <v>0</v>
      </c>
      <c r="I73" s="321"/>
      <c r="J73" s="321"/>
      <c r="K73" s="321"/>
      <c r="L73" s="321"/>
      <c r="M73" s="321"/>
    </row>
    <row r="74" spans="2:13" x14ac:dyDescent="0.25">
      <c r="B74" s="90">
        <v>8</v>
      </c>
      <c r="C74" s="142" t="s">
        <v>224</v>
      </c>
      <c r="D74" s="785"/>
      <c r="E74" s="785"/>
      <c r="F74" s="783">
        <f t="shared" si="4"/>
        <v>0</v>
      </c>
      <c r="G74" s="783">
        <f t="shared" si="5"/>
        <v>0</v>
      </c>
      <c r="H74" s="783">
        <f t="shared" si="6"/>
        <v>0</v>
      </c>
      <c r="I74" s="321"/>
      <c r="J74" s="321"/>
      <c r="K74" s="321"/>
      <c r="L74" s="321"/>
      <c r="M74" s="321"/>
    </row>
    <row r="75" spans="2:13" x14ac:dyDescent="0.25">
      <c r="B75" s="90">
        <f>+B74+0.1</f>
        <v>8.1</v>
      </c>
      <c r="C75" s="174" t="s">
        <v>220</v>
      </c>
      <c r="D75" s="783">
        <v>0</v>
      </c>
      <c r="E75" s="783">
        <v>1</v>
      </c>
      <c r="F75" s="783">
        <f t="shared" si="4"/>
        <v>1</v>
      </c>
      <c r="G75" s="783">
        <f t="shared" si="5"/>
        <v>1</v>
      </c>
      <c r="H75" s="783">
        <f t="shared" si="6"/>
        <v>1</v>
      </c>
      <c r="I75" s="321"/>
      <c r="J75" s="321"/>
      <c r="K75" s="321"/>
      <c r="L75" s="321"/>
      <c r="M75" s="321"/>
    </row>
    <row r="76" spans="2:13" x14ac:dyDescent="0.25">
      <c r="B76" s="90">
        <f>+B75+0.1</f>
        <v>8.1999999999999993</v>
      </c>
      <c r="C76" s="174" t="s">
        <v>221</v>
      </c>
      <c r="D76" s="783">
        <v>6</v>
      </c>
      <c r="E76" s="783">
        <v>4</v>
      </c>
      <c r="F76" s="783">
        <f t="shared" si="4"/>
        <v>4</v>
      </c>
      <c r="G76" s="783">
        <f t="shared" si="5"/>
        <v>4</v>
      </c>
      <c r="H76" s="783">
        <f t="shared" si="6"/>
        <v>4</v>
      </c>
      <c r="I76" s="321"/>
      <c r="J76" s="321"/>
      <c r="K76" s="321"/>
      <c r="L76" s="321"/>
      <c r="M76" s="321"/>
    </row>
    <row r="77" spans="2:13" x14ac:dyDescent="0.25">
      <c r="B77" s="90">
        <f>+B76+0.1</f>
        <v>8.2999999999999989</v>
      </c>
      <c r="C77" s="174" t="s">
        <v>222</v>
      </c>
      <c r="D77" s="783">
        <v>5</v>
      </c>
      <c r="E77" s="783">
        <v>27</v>
      </c>
      <c r="F77" s="783">
        <f t="shared" si="4"/>
        <v>27</v>
      </c>
      <c r="G77" s="783">
        <f t="shared" si="5"/>
        <v>27</v>
      </c>
      <c r="H77" s="783">
        <f t="shared" si="6"/>
        <v>27</v>
      </c>
      <c r="I77" s="321"/>
      <c r="J77" s="321"/>
      <c r="K77" s="321"/>
      <c r="L77" s="321"/>
      <c r="M77" s="321"/>
    </row>
    <row r="78" spans="2:13" x14ac:dyDescent="0.25">
      <c r="B78" s="90">
        <f>+B77+0.1</f>
        <v>8.3999999999999986</v>
      </c>
      <c r="C78" s="174" t="s">
        <v>223</v>
      </c>
      <c r="D78" s="783">
        <v>11</v>
      </c>
      <c r="E78" s="783">
        <v>11</v>
      </c>
      <c r="F78" s="783">
        <f t="shared" si="4"/>
        <v>11</v>
      </c>
      <c r="G78" s="783">
        <f t="shared" si="5"/>
        <v>11</v>
      </c>
      <c r="H78" s="783">
        <f t="shared" si="6"/>
        <v>11</v>
      </c>
      <c r="I78" s="321"/>
      <c r="J78" s="321"/>
      <c r="K78" s="321"/>
      <c r="L78" s="321"/>
      <c r="M78" s="321"/>
    </row>
    <row r="79" spans="2:13" x14ac:dyDescent="0.3">
      <c r="B79" s="176"/>
      <c r="C79" s="13" t="s">
        <v>225</v>
      </c>
      <c r="D79" s="786">
        <f>SUM(D50:D78)</f>
        <v>386</v>
      </c>
      <c r="E79" s="786">
        <f t="shared" ref="E79:H79" si="7">SUM(E57:E78)</f>
        <v>379</v>
      </c>
      <c r="F79" s="786">
        <f t="shared" ref="F79:G79" si="8">SUM(F57:F78)</f>
        <v>379</v>
      </c>
      <c r="G79" s="786">
        <f t="shared" si="8"/>
        <v>379</v>
      </c>
      <c r="H79" s="786">
        <f t="shared" si="7"/>
        <v>379</v>
      </c>
      <c r="I79" s="1123"/>
      <c r="J79" s="1123"/>
      <c r="K79" s="1123"/>
      <c r="L79" s="1123"/>
      <c r="M79" s="1123"/>
    </row>
  </sheetData>
  <mergeCells count="12">
    <mergeCell ref="O8:O10"/>
    <mergeCell ref="B45:B47"/>
    <mergeCell ref="C45:C47"/>
    <mergeCell ref="F45:H45"/>
    <mergeCell ref="B2:H2"/>
    <mergeCell ref="B3:H3"/>
    <mergeCell ref="B4:H4"/>
    <mergeCell ref="B8:B10"/>
    <mergeCell ref="C8:C10"/>
    <mergeCell ref="F8:H8"/>
    <mergeCell ref="I8:M8"/>
    <mergeCell ref="I45:M45"/>
  </mergeCells>
  <pageMargins left="0.75" right="0.75" top="1" bottom="1" header="0.5" footer="0.5"/>
  <pageSetup paperSize="9" scale="65" fitToHeight="0" orientation="landscape" r:id="rId1"/>
  <headerFooter alignWithMargins="0"/>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2:M46"/>
  <sheetViews>
    <sheetView showGridLines="0" view="pageBreakPreview" zoomScale="75" zoomScaleNormal="80" zoomScaleSheetLayoutView="90" workbookViewId="0">
      <pane xSplit="3" ySplit="9" topLeftCell="D19" activePane="bottomRight" state="frozen"/>
      <selection activeCell="F18" sqref="F18"/>
      <selection pane="topRight" activeCell="F18" sqref="F18"/>
      <selection pane="bottomLeft" activeCell="F18" sqref="F18"/>
      <selection pane="bottomRight" activeCell="G39" sqref="G39"/>
    </sheetView>
  </sheetViews>
  <sheetFormatPr defaultColWidth="9.36328125" defaultRowHeight="14" x14ac:dyDescent="0.25"/>
  <cols>
    <col min="1" max="1" width="6.6328125" style="14" customWidth="1"/>
    <col min="2" max="2" width="7" style="93" customWidth="1"/>
    <col min="3" max="3" width="44.36328125" style="14" customWidth="1"/>
    <col min="4" max="4" width="25.54296875" style="14" customWidth="1"/>
    <col min="5" max="12" width="15.6328125" style="14" customWidth="1"/>
    <col min="13" max="13" width="14.6328125" style="14" customWidth="1"/>
    <col min="14" max="16384" width="9.36328125" style="14"/>
  </cols>
  <sheetData>
    <row r="2" spans="2:13" x14ac:dyDescent="0.25">
      <c r="B2" s="1598" t="str">
        <f>Index!B2</f>
        <v xml:space="preserve">      Maharashtra State Power Generation Company Ltd.</v>
      </c>
      <c r="C2" s="1649"/>
      <c r="D2" s="1649"/>
      <c r="E2" s="1649"/>
      <c r="F2" s="1649"/>
      <c r="G2" s="1649"/>
      <c r="H2" s="1649"/>
      <c r="I2" s="1649"/>
      <c r="J2" s="1649"/>
      <c r="K2" s="1649"/>
      <c r="L2" s="1649"/>
      <c r="M2" s="1649"/>
    </row>
    <row r="3" spans="2:13" s="5" customFormat="1" x14ac:dyDescent="0.3">
      <c r="B3" s="1598" t="str">
        <f>Index!B3</f>
        <v>MYT Petition Formats for Bhusawal Unit 3</v>
      </c>
      <c r="C3" s="1649"/>
      <c r="D3" s="1649"/>
      <c r="E3" s="1649"/>
      <c r="F3" s="1649"/>
      <c r="G3" s="1649"/>
      <c r="H3" s="1649"/>
      <c r="I3" s="1649"/>
      <c r="J3" s="1649"/>
      <c r="K3" s="1649"/>
      <c r="L3" s="1649"/>
      <c r="M3" s="1649"/>
    </row>
    <row r="4" spans="2:13" s="5" customFormat="1" x14ac:dyDescent="0.3">
      <c r="B4" s="1599" t="s">
        <v>226</v>
      </c>
      <c r="C4" s="1649"/>
      <c r="D4" s="1649"/>
      <c r="E4" s="1649"/>
      <c r="F4" s="1649"/>
      <c r="G4" s="1649"/>
      <c r="H4" s="1649"/>
      <c r="I4" s="1649"/>
      <c r="J4" s="1649"/>
      <c r="K4" s="1649"/>
      <c r="L4" s="1649"/>
      <c r="M4" s="1649"/>
    </row>
    <row r="6" spans="2:13" x14ac:dyDescent="0.25">
      <c r="H6" s="21" t="s">
        <v>10</v>
      </c>
    </row>
    <row r="7" spans="2:13" ht="12.75" customHeight="1" x14ac:dyDescent="0.25">
      <c r="B7" s="1593" t="s">
        <v>340</v>
      </c>
      <c r="C7" s="1603" t="s">
        <v>38</v>
      </c>
      <c r="D7" s="287" t="s">
        <v>505</v>
      </c>
      <c r="E7" s="287" t="s">
        <v>506</v>
      </c>
      <c r="F7" s="1593" t="s">
        <v>507</v>
      </c>
      <c r="G7" s="1593"/>
      <c r="H7" s="1593"/>
      <c r="I7" s="1735"/>
      <c r="J7" s="1735"/>
      <c r="K7" s="1735"/>
      <c r="L7" s="1735"/>
      <c r="M7" s="1735"/>
    </row>
    <row r="8" spans="2:13" ht="28" x14ac:dyDescent="0.25">
      <c r="B8" s="1593"/>
      <c r="C8" s="1603"/>
      <c r="D8" s="434" t="s">
        <v>1074</v>
      </c>
      <c r="E8" s="287" t="s">
        <v>80</v>
      </c>
      <c r="F8" s="1125" t="s">
        <v>444</v>
      </c>
      <c r="G8" s="1125" t="s">
        <v>447</v>
      </c>
      <c r="H8" s="1125" t="s">
        <v>81</v>
      </c>
      <c r="I8" s="1133"/>
      <c r="J8" s="1133"/>
      <c r="K8" s="1133"/>
      <c r="L8" s="1133"/>
      <c r="M8" s="1133"/>
    </row>
    <row r="9" spans="2:13" x14ac:dyDescent="0.25">
      <c r="B9" s="1593"/>
      <c r="C9" s="1603"/>
      <c r="D9" s="287" t="s">
        <v>82</v>
      </c>
      <c r="E9" s="287" t="s">
        <v>83</v>
      </c>
      <c r="F9" s="1125" t="s">
        <v>391</v>
      </c>
      <c r="G9" s="1125" t="s">
        <v>392</v>
      </c>
      <c r="H9" s="1125" t="s">
        <v>393</v>
      </c>
      <c r="I9" s="1131"/>
      <c r="J9" s="1131"/>
      <c r="K9" s="1131"/>
      <c r="L9" s="1131"/>
      <c r="M9" s="1131"/>
    </row>
    <row r="10" spans="2:13" x14ac:dyDescent="0.25">
      <c r="B10" s="94"/>
      <c r="C10" s="24"/>
      <c r="D10" s="24"/>
      <c r="E10" s="24"/>
      <c r="F10" s="24"/>
      <c r="G10" s="24"/>
      <c r="H10" s="24"/>
      <c r="I10" s="59"/>
      <c r="J10" s="59"/>
      <c r="K10" s="59"/>
      <c r="L10" s="59"/>
      <c r="M10" s="59"/>
    </row>
    <row r="11" spans="2:13" x14ac:dyDescent="0.25">
      <c r="B11" s="94">
        <v>1</v>
      </c>
      <c r="C11" s="24" t="s">
        <v>832</v>
      </c>
      <c r="D11" s="302">
        <v>0.17477553719008301</v>
      </c>
      <c r="E11" s="302">
        <v>0.93954131753332493</v>
      </c>
      <c r="F11" s="302">
        <v>2.6019173553719011E-2</v>
      </c>
      <c r="G11" s="302">
        <v>0.15611504132231407</v>
      </c>
      <c r="H11" s="302">
        <f>F11+G11</f>
        <v>0.1821342148760331</v>
      </c>
      <c r="I11" s="321"/>
      <c r="J11" s="321"/>
      <c r="K11" s="321"/>
      <c r="L11" s="321"/>
      <c r="M11" s="321"/>
    </row>
    <row r="12" spans="2:13" x14ac:dyDescent="0.25">
      <c r="B12" s="94">
        <f>B11+1</f>
        <v>2</v>
      </c>
      <c r="C12" s="28" t="s">
        <v>227</v>
      </c>
      <c r="D12" s="302">
        <v>0.35446005867768599</v>
      </c>
      <c r="E12" s="302">
        <v>1.5491494781404958</v>
      </c>
      <c r="F12" s="302">
        <v>3.71900826446281E-2</v>
      </c>
      <c r="G12" s="302">
        <v>0.2231404958677686</v>
      </c>
      <c r="H12" s="302">
        <f>F12+G12</f>
        <v>0.26033057851239672</v>
      </c>
      <c r="I12" s="321"/>
      <c r="J12" s="321"/>
      <c r="K12" s="321"/>
      <c r="L12" s="321"/>
      <c r="M12" s="321"/>
    </row>
    <row r="13" spans="2:13" x14ac:dyDescent="0.3">
      <c r="B13" s="94">
        <f t="shared" ref="B13:B46" si="0">B12+1</f>
        <v>3</v>
      </c>
      <c r="C13" s="26" t="s">
        <v>228</v>
      </c>
      <c r="D13" s="302">
        <v>0.57670198264462813</v>
      </c>
      <c r="E13" s="302">
        <v>0.5767019479338843</v>
      </c>
      <c r="F13" s="302">
        <v>0.7821779152302244</v>
      </c>
      <c r="G13" s="302">
        <v>1.6404970434474617</v>
      </c>
      <c r="H13" s="302">
        <f>F13+G13</f>
        <v>2.4226749586776863</v>
      </c>
      <c r="I13" s="321"/>
      <c r="J13" s="321"/>
      <c r="K13" s="321"/>
      <c r="L13" s="321"/>
      <c r="M13" s="321"/>
    </row>
    <row r="14" spans="2:13" x14ac:dyDescent="0.3">
      <c r="B14" s="94">
        <f t="shared" si="0"/>
        <v>4</v>
      </c>
      <c r="C14" s="26" t="s">
        <v>229</v>
      </c>
      <c r="D14" s="302">
        <v>3.299979726446281E-2</v>
      </c>
      <c r="E14" s="302">
        <v>2.6904096892561982E-2</v>
      </c>
      <c r="F14" s="302">
        <v>4.5708836198347117E-3</v>
      </c>
      <c r="G14" s="302">
        <v>9.5867205123966962E-3</v>
      </c>
      <c r="H14" s="302">
        <f t="shared" ref="H14:H43" si="1">F14+G14</f>
        <v>1.4157604132231407E-2</v>
      </c>
      <c r="I14" s="321"/>
      <c r="J14" s="321"/>
      <c r="K14" s="321"/>
      <c r="L14" s="321"/>
      <c r="M14" s="321"/>
    </row>
    <row r="15" spans="2:13" s="311" customFormat="1" x14ac:dyDescent="0.3">
      <c r="B15" s="234">
        <f t="shared" si="0"/>
        <v>5</v>
      </c>
      <c r="C15" s="54" t="s">
        <v>230</v>
      </c>
      <c r="D15" s="315">
        <v>3.2454545454545457E-3</v>
      </c>
      <c r="E15" s="315">
        <v>1.6817355371900825E-2</v>
      </c>
      <c r="F15" s="315">
        <v>5.0696576151121608E-3</v>
      </c>
      <c r="G15" s="315">
        <v>1.0632821723730814E-2</v>
      </c>
      <c r="H15" s="315">
        <f t="shared" si="1"/>
        <v>1.5702479338842973E-2</v>
      </c>
      <c r="I15" s="321"/>
      <c r="J15" s="321"/>
      <c r="K15" s="321"/>
      <c r="L15" s="321"/>
      <c r="M15" s="321"/>
    </row>
    <row r="16" spans="2:13" s="311" customFormat="1" x14ac:dyDescent="0.3">
      <c r="B16" s="234">
        <f t="shared" si="0"/>
        <v>6</v>
      </c>
      <c r="C16" s="54" t="s">
        <v>231</v>
      </c>
      <c r="D16" s="315">
        <v>0.25208620204958676</v>
      </c>
      <c r="E16" s="315">
        <v>0.34574973994214875</v>
      </c>
      <c r="F16" s="315">
        <v>0.13729898528453366</v>
      </c>
      <c r="G16" s="315">
        <v>0.28796335851711929</v>
      </c>
      <c r="H16" s="315">
        <f t="shared" si="1"/>
        <v>0.42526234380165295</v>
      </c>
      <c r="I16" s="321"/>
      <c r="J16" s="321"/>
      <c r="K16" s="321"/>
      <c r="L16" s="321"/>
      <c r="M16" s="321"/>
    </row>
    <row r="17" spans="2:13" x14ac:dyDescent="0.3">
      <c r="B17" s="94">
        <f t="shared" si="0"/>
        <v>7</v>
      </c>
      <c r="C17" s="26" t="s">
        <v>232</v>
      </c>
      <c r="D17" s="302">
        <v>0.76940536284297523</v>
      </c>
      <c r="E17" s="302">
        <v>1.0651263435619833</v>
      </c>
      <c r="F17" s="302">
        <v>0.27688607328217241</v>
      </c>
      <c r="G17" s="302">
        <v>0.58072565812278631</v>
      </c>
      <c r="H17" s="302">
        <f t="shared" si="1"/>
        <v>0.85761173140495872</v>
      </c>
      <c r="I17" s="321"/>
      <c r="J17" s="321"/>
      <c r="K17" s="321"/>
      <c r="L17" s="321"/>
      <c r="M17" s="321"/>
    </row>
    <row r="18" spans="2:13" x14ac:dyDescent="0.3">
      <c r="B18" s="94">
        <f t="shared" si="0"/>
        <v>8</v>
      </c>
      <c r="C18" s="26" t="s">
        <v>233</v>
      </c>
      <c r="D18" s="302"/>
      <c r="E18" s="302"/>
      <c r="F18" s="302"/>
      <c r="G18" s="302"/>
      <c r="H18" s="302">
        <f t="shared" si="1"/>
        <v>0</v>
      </c>
      <c r="I18" s="321"/>
      <c r="J18" s="321"/>
      <c r="K18" s="321"/>
      <c r="L18" s="321"/>
      <c r="M18" s="321"/>
    </row>
    <row r="19" spans="2:13" x14ac:dyDescent="0.3">
      <c r="B19" s="94">
        <f t="shared" si="0"/>
        <v>9</v>
      </c>
      <c r="C19" s="177" t="s">
        <v>234</v>
      </c>
      <c r="D19" s="302"/>
      <c r="E19" s="302"/>
      <c r="F19" s="302"/>
      <c r="G19" s="302"/>
      <c r="H19" s="302">
        <f t="shared" si="1"/>
        <v>0</v>
      </c>
      <c r="I19" s="321"/>
      <c r="J19" s="321"/>
      <c r="K19" s="321"/>
      <c r="L19" s="321"/>
      <c r="M19" s="321"/>
    </row>
    <row r="20" spans="2:13" x14ac:dyDescent="0.3">
      <c r="B20" s="94">
        <f t="shared" si="0"/>
        <v>10</v>
      </c>
      <c r="C20" s="26" t="s">
        <v>235</v>
      </c>
      <c r="D20" s="315">
        <v>2.1698806182396693</v>
      </c>
      <c r="E20" s="315">
        <v>3.9643226437933881</v>
      </c>
      <c r="F20" s="315">
        <v>1.3531108091062576</v>
      </c>
      <c r="G20" s="315">
        <v>3.2694983004226681</v>
      </c>
      <c r="H20" s="302">
        <f t="shared" si="1"/>
        <v>4.6226091095289252</v>
      </c>
      <c r="I20" s="321"/>
      <c r="J20" s="321"/>
      <c r="K20" s="321"/>
      <c r="L20" s="321"/>
      <c r="M20" s="321"/>
    </row>
    <row r="21" spans="2:13" x14ac:dyDescent="0.3">
      <c r="B21" s="94">
        <f t="shared" si="0"/>
        <v>11</v>
      </c>
      <c r="C21" s="26" t="s">
        <v>236</v>
      </c>
      <c r="D21" s="302"/>
      <c r="E21" s="302"/>
      <c r="F21" s="302"/>
      <c r="G21" s="302"/>
      <c r="H21" s="302">
        <f t="shared" si="1"/>
        <v>0</v>
      </c>
      <c r="I21" s="321"/>
      <c r="J21" s="321"/>
      <c r="K21" s="321"/>
      <c r="L21" s="321"/>
      <c r="M21" s="321"/>
    </row>
    <row r="22" spans="2:13" x14ac:dyDescent="0.3">
      <c r="B22" s="94">
        <f t="shared" si="0"/>
        <v>12</v>
      </c>
      <c r="C22" s="26" t="s">
        <v>237</v>
      </c>
      <c r="D22" s="302">
        <v>1.6629952066115703E-2</v>
      </c>
      <c r="E22" s="302">
        <v>5.1577614049586773E-2</v>
      </c>
      <c r="F22" s="302">
        <v>2.0063570247933885E-2</v>
      </c>
      <c r="G22" s="302">
        <v>4.208023140495868E-2</v>
      </c>
      <c r="H22" s="302">
        <f t="shared" si="1"/>
        <v>6.2143801652892565E-2</v>
      </c>
      <c r="I22" s="321"/>
      <c r="J22" s="321"/>
      <c r="K22" s="321"/>
      <c r="L22" s="321"/>
      <c r="M22" s="321"/>
    </row>
    <row r="23" spans="2:13" x14ac:dyDescent="0.3">
      <c r="B23" s="94">
        <f t="shared" si="0"/>
        <v>13</v>
      </c>
      <c r="C23" s="26" t="s">
        <v>238</v>
      </c>
      <c r="D23" s="302"/>
      <c r="E23" s="302"/>
      <c r="F23" s="302"/>
      <c r="G23" s="302"/>
      <c r="H23" s="302">
        <f t="shared" si="1"/>
        <v>0</v>
      </c>
      <c r="I23" s="321"/>
      <c r="J23" s="321"/>
      <c r="K23" s="321"/>
      <c r="L23" s="321"/>
      <c r="M23" s="321"/>
    </row>
    <row r="24" spans="2:13" x14ac:dyDescent="0.3">
      <c r="B24" s="94">
        <f t="shared" si="0"/>
        <v>14</v>
      </c>
      <c r="C24" s="26" t="s">
        <v>239</v>
      </c>
      <c r="D24" s="302">
        <v>4.3355097892561985E-2</v>
      </c>
      <c r="E24" s="302">
        <v>0.10230505333884297</v>
      </c>
      <c r="F24" s="302">
        <v>-1.1547180853600937E-2</v>
      </c>
      <c r="G24" s="302">
        <v>0.10168558803541913</v>
      </c>
      <c r="H24" s="302">
        <f t="shared" si="1"/>
        <v>9.0138407181818203E-2</v>
      </c>
      <c r="I24" s="321"/>
      <c r="J24" s="321"/>
      <c r="K24" s="321"/>
      <c r="L24" s="321"/>
      <c r="M24" s="321"/>
    </row>
    <row r="25" spans="2:13" x14ac:dyDescent="0.3">
      <c r="B25" s="94">
        <f t="shared" si="0"/>
        <v>15</v>
      </c>
      <c r="C25" s="26" t="s">
        <v>240</v>
      </c>
      <c r="D25" s="302"/>
      <c r="E25" s="302"/>
      <c r="F25" s="302"/>
      <c r="G25" s="302"/>
      <c r="H25" s="302">
        <f t="shared" si="1"/>
        <v>0</v>
      </c>
      <c r="I25" s="321"/>
      <c r="J25" s="321"/>
      <c r="K25" s="321"/>
      <c r="L25" s="321"/>
      <c r="M25" s="321"/>
    </row>
    <row r="26" spans="2:13" x14ac:dyDescent="0.3">
      <c r="B26" s="94">
        <f t="shared" si="0"/>
        <v>16</v>
      </c>
      <c r="C26" s="26" t="s">
        <v>241</v>
      </c>
      <c r="D26" s="302"/>
      <c r="E26" s="302"/>
      <c r="F26" s="302"/>
      <c r="G26" s="302"/>
      <c r="H26" s="302">
        <f t="shared" si="1"/>
        <v>0</v>
      </c>
      <c r="I26" s="321"/>
      <c r="J26" s="321"/>
      <c r="K26" s="321"/>
      <c r="L26" s="321"/>
      <c r="M26" s="321"/>
    </row>
    <row r="27" spans="2:13" x14ac:dyDescent="0.25">
      <c r="B27" s="94">
        <f t="shared" si="0"/>
        <v>17</v>
      </c>
      <c r="C27" s="28" t="s">
        <v>242</v>
      </c>
      <c r="D27" s="302"/>
      <c r="E27" s="302"/>
      <c r="F27" s="302"/>
      <c r="G27" s="302"/>
      <c r="H27" s="302">
        <f t="shared" si="1"/>
        <v>0</v>
      </c>
      <c r="I27" s="321"/>
      <c r="J27" s="321"/>
      <c r="K27" s="321"/>
      <c r="L27" s="321"/>
      <c r="M27" s="321"/>
    </row>
    <row r="28" spans="2:13" x14ac:dyDescent="0.25">
      <c r="B28" s="94">
        <f t="shared" si="0"/>
        <v>18</v>
      </c>
      <c r="C28" s="28" t="s">
        <v>243</v>
      </c>
      <c r="D28" s="302"/>
      <c r="E28" s="302"/>
      <c r="F28" s="302"/>
      <c r="G28" s="302"/>
      <c r="H28" s="302">
        <f t="shared" si="1"/>
        <v>0</v>
      </c>
      <c r="I28" s="321"/>
      <c r="J28" s="321"/>
      <c r="K28" s="321"/>
      <c r="L28" s="321"/>
      <c r="M28" s="321"/>
    </row>
    <row r="29" spans="2:13" x14ac:dyDescent="0.3">
      <c r="B29" s="94">
        <f t="shared" si="0"/>
        <v>19</v>
      </c>
      <c r="C29" s="26" t="s">
        <v>244</v>
      </c>
      <c r="D29" s="302"/>
      <c r="E29" s="302"/>
      <c r="F29" s="302"/>
      <c r="G29" s="302"/>
      <c r="H29" s="302">
        <f t="shared" si="1"/>
        <v>0</v>
      </c>
      <c r="I29" s="321"/>
      <c r="J29" s="321"/>
      <c r="K29" s="321"/>
      <c r="L29" s="321"/>
      <c r="M29" s="321"/>
    </row>
    <row r="30" spans="2:13" x14ac:dyDescent="0.3">
      <c r="B30" s="94">
        <f t="shared" si="0"/>
        <v>20</v>
      </c>
      <c r="C30" s="26" t="s">
        <v>245</v>
      </c>
      <c r="D30" s="302"/>
      <c r="E30" s="302"/>
      <c r="F30" s="302"/>
      <c r="G30" s="302"/>
      <c r="H30" s="302">
        <f t="shared" si="1"/>
        <v>0</v>
      </c>
      <c r="I30" s="321"/>
      <c r="J30" s="321"/>
      <c r="K30" s="321"/>
      <c r="L30" s="321"/>
      <c r="M30" s="321"/>
    </row>
    <row r="31" spans="2:13" x14ac:dyDescent="0.3">
      <c r="B31" s="94">
        <f t="shared" si="0"/>
        <v>21</v>
      </c>
      <c r="C31" s="432" t="s">
        <v>1575</v>
      </c>
      <c r="D31" s="302">
        <v>0.52813631309340137</v>
      </c>
      <c r="E31" s="302">
        <v>0.31322088833546746</v>
      </c>
      <c r="F31" s="302">
        <v>0.3574878828878395</v>
      </c>
      <c r="G31" s="302">
        <v>0.76195500235183011</v>
      </c>
      <c r="H31" s="302">
        <f t="shared" si="1"/>
        <v>1.1194428852396696</v>
      </c>
      <c r="I31" s="321"/>
      <c r="J31" s="321"/>
      <c r="K31" s="321"/>
      <c r="L31" s="321"/>
      <c r="M31" s="321"/>
    </row>
    <row r="32" spans="2:13" x14ac:dyDescent="0.3">
      <c r="B32" s="94">
        <f t="shared" si="0"/>
        <v>22</v>
      </c>
      <c r="C32" s="26" t="s">
        <v>246</v>
      </c>
      <c r="D32" s="302"/>
      <c r="E32" s="302"/>
      <c r="F32" s="302"/>
      <c r="G32" s="302"/>
      <c r="H32" s="302">
        <f t="shared" si="1"/>
        <v>0</v>
      </c>
      <c r="I32" s="321"/>
      <c r="J32" s="321"/>
      <c r="K32" s="321"/>
      <c r="L32" s="321"/>
      <c r="M32" s="321"/>
    </row>
    <row r="33" spans="2:13" x14ac:dyDescent="0.3">
      <c r="B33" s="94">
        <f t="shared" si="0"/>
        <v>23</v>
      </c>
      <c r="C33" s="26" t="s">
        <v>247</v>
      </c>
      <c r="D33" s="302"/>
      <c r="E33" s="302"/>
      <c r="F33" s="302"/>
      <c r="G33" s="302"/>
      <c r="H33" s="302">
        <f t="shared" si="1"/>
        <v>0</v>
      </c>
      <c r="I33" s="321"/>
      <c r="J33" s="321"/>
      <c r="K33" s="321"/>
      <c r="L33" s="321"/>
      <c r="M33" s="321"/>
    </row>
    <row r="34" spans="2:13" x14ac:dyDescent="0.3">
      <c r="B34" s="94">
        <f t="shared" si="0"/>
        <v>24</v>
      </c>
      <c r="C34" s="26" t="s">
        <v>248</v>
      </c>
      <c r="D34" s="302"/>
      <c r="E34" s="302"/>
      <c r="F34" s="302"/>
      <c r="G34" s="302"/>
      <c r="H34" s="302">
        <f t="shared" si="1"/>
        <v>0</v>
      </c>
      <c r="I34" s="321"/>
      <c r="J34" s="321"/>
      <c r="K34" s="321"/>
      <c r="L34" s="321"/>
      <c r="M34" s="321"/>
    </row>
    <row r="35" spans="2:13" x14ac:dyDescent="0.3">
      <c r="B35" s="94">
        <f t="shared" si="0"/>
        <v>25</v>
      </c>
      <c r="C35" s="26" t="s">
        <v>249</v>
      </c>
      <c r="D35" s="302"/>
      <c r="E35" s="302"/>
      <c r="F35" s="302"/>
      <c r="G35" s="302"/>
      <c r="H35" s="302">
        <f t="shared" si="1"/>
        <v>0</v>
      </c>
      <c r="I35" s="321"/>
      <c r="J35" s="321"/>
      <c r="K35" s="321"/>
      <c r="L35" s="321"/>
      <c r="M35" s="321"/>
    </row>
    <row r="36" spans="2:13" x14ac:dyDescent="0.3">
      <c r="B36" s="94">
        <f t="shared" si="0"/>
        <v>26</v>
      </c>
      <c r="C36" s="26" t="s">
        <v>250</v>
      </c>
      <c r="D36" s="302"/>
      <c r="E36" s="302"/>
      <c r="F36" s="302"/>
      <c r="G36" s="302"/>
      <c r="H36" s="302">
        <f t="shared" si="1"/>
        <v>0</v>
      </c>
      <c r="I36" s="321"/>
      <c r="J36" s="321"/>
      <c r="K36" s="321"/>
      <c r="L36" s="321"/>
      <c r="M36" s="321"/>
    </row>
    <row r="37" spans="2:13" x14ac:dyDescent="0.3">
      <c r="B37" s="94">
        <f t="shared" si="0"/>
        <v>27</v>
      </c>
      <c r="C37" s="26" t="s">
        <v>251</v>
      </c>
      <c r="D37" s="302">
        <v>1.5046369235950401</v>
      </c>
      <c r="E37" s="302">
        <v>0</v>
      </c>
      <c r="F37" s="302">
        <v>5.3832898488783941E-3</v>
      </c>
      <c r="G37" s="302">
        <v>1.1290616762691854E-2</v>
      </c>
      <c r="H37" s="302">
        <f t="shared" si="1"/>
        <v>1.6673906611570248E-2</v>
      </c>
      <c r="I37" s="321"/>
      <c r="J37" s="321"/>
      <c r="K37" s="321"/>
      <c r="L37" s="321"/>
      <c r="M37" s="321"/>
    </row>
    <row r="38" spans="2:13" x14ac:dyDescent="0.3">
      <c r="B38" s="94">
        <f t="shared" si="0"/>
        <v>28</v>
      </c>
      <c r="C38" s="26" t="s">
        <v>252</v>
      </c>
      <c r="D38" s="302"/>
      <c r="E38" s="302"/>
      <c r="F38" s="302"/>
      <c r="G38" s="302"/>
      <c r="H38" s="302">
        <f t="shared" si="1"/>
        <v>0</v>
      </c>
      <c r="I38" s="321"/>
      <c r="J38" s="321"/>
      <c r="K38" s="321"/>
      <c r="L38" s="321"/>
      <c r="M38" s="321"/>
    </row>
    <row r="39" spans="2:13" x14ac:dyDescent="0.3">
      <c r="B39" s="94">
        <f t="shared" si="0"/>
        <v>29</v>
      </c>
      <c r="C39" s="26" t="s">
        <v>210</v>
      </c>
      <c r="D39" s="315">
        <v>0.16600384916528924</v>
      </c>
      <c r="E39" s="315">
        <v>0.24256751504132232</v>
      </c>
      <c r="F39" s="315">
        <v>0.10241507227154661</v>
      </c>
      <c r="G39" s="315">
        <v>0.21479975334828805</v>
      </c>
      <c r="H39" s="302">
        <f t="shared" si="1"/>
        <v>0.31721482561983466</v>
      </c>
      <c r="I39" s="321"/>
      <c r="J39" s="321"/>
      <c r="K39" s="321"/>
      <c r="L39" s="321"/>
      <c r="M39" s="321"/>
    </row>
    <row r="40" spans="2:13" s="311" customFormat="1" x14ac:dyDescent="0.3">
      <c r="B40" s="94">
        <f t="shared" si="0"/>
        <v>30</v>
      </c>
      <c r="C40" s="54" t="s">
        <v>823</v>
      </c>
      <c r="D40" s="315"/>
      <c r="E40" s="315"/>
      <c r="F40" s="315"/>
      <c r="G40" s="315"/>
      <c r="H40" s="302">
        <f t="shared" si="1"/>
        <v>0</v>
      </c>
      <c r="I40" s="321"/>
      <c r="J40" s="321"/>
      <c r="K40" s="321"/>
      <c r="L40" s="321"/>
      <c r="M40" s="321"/>
    </row>
    <row r="41" spans="2:13" s="311" customFormat="1" x14ac:dyDescent="0.3">
      <c r="B41" s="94">
        <f t="shared" si="0"/>
        <v>31</v>
      </c>
      <c r="C41" s="54" t="s">
        <v>810</v>
      </c>
      <c r="D41" s="315"/>
      <c r="E41" s="315"/>
      <c r="F41" s="315"/>
      <c r="G41" s="315"/>
      <c r="H41" s="302">
        <f t="shared" si="1"/>
        <v>0</v>
      </c>
      <c r="I41" s="321"/>
      <c r="J41" s="321"/>
      <c r="K41" s="321"/>
      <c r="L41" s="321"/>
      <c r="M41" s="321"/>
    </row>
    <row r="42" spans="2:13" s="311" customFormat="1" x14ac:dyDescent="0.3">
      <c r="B42" s="94">
        <f t="shared" si="0"/>
        <v>32</v>
      </c>
      <c r="C42" s="54" t="s">
        <v>822</v>
      </c>
      <c r="D42" s="315">
        <v>0</v>
      </c>
      <c r="E42" s="315">
        <v>0</v>
      </c>
      <c r="F42" s="315">
        <v>0</v>
      </c>
      <c r="G42" s="315">
        <v>0</v>
      </c>
      <c r="H42" s="302">
        <f t="shared" si="1"/>
        <v>0</v>
      </c>
      <c r="I42" s="321"/>
      <c r="J42" s="321"/>
      <c r="K42" s="321"/>
      <c r="L42" s="321"/>
      <c r="M42" s="321"/>
    </row>
    <row r="43" spans="2:13" s="311" customFormat="1" x14ac:dyDescent="0.3">
      <c r="B43" s="94">
        <f t="shared" si="0"/>
        <v>33</v>
      </c>
      <c r="C43" s="54" t="s">
        <v>805</v>
      </c>
      <c r="D43" s="315">
        <v>1.5833306375738549</v>
      </c>
      <c r="E43" s="315">
        <v>2.0995689954999106</v>
      </c>
      <c r="F43" s="315">
        <v>0</v>
      </c>
      <c r="G43" s="315">
        <v>0</v>
      </c>
      <c r="H43" s="302">
        <f t="shared" si="1"/>
        <v>0</v>
      </c>
      <c r="I43" s="321"/>
      <c r="J43" s="321"/>
      <c r="K43" s="321"/>
      <c r="L43" s="321"/>
      <c r="M43" s="321"/>
    </row>
    <row r="44" spans="2:13" s="311" customFormat="1" x14ac:dyDescent="0.3">
      <c r="B44" s="94">
        <f t="shared" si="0"/>
        <v>34</v>
      </c>
      <c r="C44" s="305" t="s">
        <v>253</v>
      </c>
      <c r="D44" s="358">
        <f>SUM(D11:D43)</f>
        <v>8.1756477868408091</v>
      </c>
      <c r="E44" s="358">
        <f t="shared" ref="E44:H44" si="2">SUM(E11:E43)</f>
        <v>11.293552989434815</v>
      </c>
      <c r="F44" s="358">
        <f t="shared" si="2"/>
        <v>3.0961262147390793</v>
      </c>
      <c r="G44" s="358">
        <f t="shared" si="2"/>
        <v>7.309970631839434</v>
      </c>
      <c r="H44" s="358">
        <f t="shared" si="2"/>
        <v>10.406096846578514</v>
      </c>
      <c r="I44" s="663"/>
      <c r="J44" s="663"/>
      <c r="K44" s="663"/>
      <c r="L44" s="663"/>
      <c r="M44" s="663"/>
    </row>
    <row r="45" spans="2:13" s="311" customFormat="1" x14ac:dyDescent="0.3">
      <c r="B45" s="94">
        <f t="shared" si="0"/>
        <v>35</v>
      </c>
      <c r="C45" s="3" t="s">
        <v>36</v>
      </c>
      <c r="D45" s="315"/>
      <c r="E45" s="315"/>
      <c r="F45" s="315"/>
      <c r="G45" s="315"/>
      <c r="H45" s="315"/>
      <c r="I45" s="321"/>
      <c r="J45" s="321"/>
      <c r="K45" s="321"/>
      <c r="L45" s="321"/>
      <c r="M45" s="321"/>
    </row>
    <row r="46" spans="2:13" s="311" customFormat="1" x14ac:dyDescent="0.25">
      <c r="B46" s="94">
        <f t="shared" si="0"/>
        <v>36</v>
      </c>
      <c r="C46" s="237" t="s">
        <v>254</v>
      </c>
      <c r="D46" s="315">
        <f t="shared" ref="D46:G46" si="3">D44-D45</f>
        <v>8.1756477868408091</v>
      </c>
      <c r="E46" s="315">
        <f t="shared" si="3"/>
        <v>11.293552989434815</v>
      </c>
      <c r="F46" s="315">
        <f t="shared" si="3"/>
        <v>3.0961262147390793</v>
      </c>
      <c r="G46" s="315">
        <f t="shared" si="3"/>
        <v>7.309970631839434</v>
      </c>
      <c r="H46" s="315">
        <f>H44-H45</f>
        <v>10.406096846578514</v>
      </c>
      <c r="I46" s="321"/>
      <c r="J46" s="321"/>
      <c r="K46" s="321"/>
      <c r="L46" s="321"/>
      <c r="M46" s="321"/>
    </row>
  </sheetData>
  <mergeCells count="7">
    <mergeCell ref="B2:M2"/>
    <mergeCell ref="B3:M3"/>
    <mergeCell ref="B4:M4"/>
    <mergeCell ref="B7:B9"/>
    <mergeCell ref="C7:C9"/>
    <mergeCell ref="F7:H7"/>
    <mergeCell ref="I7:M7"/>
  </mergeCells>
  <pageMargins left="0.75" right="0.75" top="1" bottom="1" header="0.5" footer="0.5"/>
  <pageSetup paperSize="9" scale="5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2:M25"/>
  <sheetViews>
    <sheetView showGridLines="0" view="pageBreakPreview" zoomScale="68" zoomScaleNormal="80" zoomScaleSheetLayoutView="90" workbookViewId="0">
      <selection activeCell="H23" sqref="H23"/>
    </sheetView>
  </sheetViews>
  <sheetFormatPr defaultColWidth="9.36328125" defaultRowHeight="14" x14ac:dyDescent="0.25"/>
  <cols>
    <col min="1" max="1" width="6.6328125" style="14" customWidth="1"/>
    <col min="2" max="2" width="8.6328125" style="93" customWidth="1"/>
    <col min="3" max="3" width="45.6328125" style="14" customWidth="1"/>
    <col min="4" max="13" width="15.6328125" style="14" customWidth="1"/>
    <col min="14" max="16384" width="9.36328125" style="14"/>
  </cols>
  <sheetData>
    <row r="2" spans="2:13" x14ac:dyDescent="0.25">
      <c r="B2" s="1598" t="str">
        <f>Index!B2</f>
        <v xml:space="preserve">      Maharashtra State Power Generation Company Ltd.</v>
      </c>
      <c r="C2" s="1649"/>
      <c r="D2" s="1649"/>
      <c r="E2" s="1649"/>
      <c r="F2" s="1649"/>
      <c r="G2" s="1649"/>
      <c r="H2" s="1649"/>
      <c r="I2" s="1649"/>
      <c r="J2" s="1649"/>
      <c r="K2" s="1649"/>
      <c r="L2" s="1649"/>
      <c r="M2" s="1649"/>
    </row>
    <row r="3" spans="2:13" s="5" customFormat="1" x14ac:dyDescent="0.3">
      <c r="B3" s="1598" t="str">
        <f>Index!B3</f>
        <v>MYT Petition Formats for Bhusawal Unit 3</v>
      </c>
      <c r="C3" s="1649"/>
      <c r="D3" s="1649"/>
      <c r="E3" s="1649"/>
      <c r="F3" s="1649"/>
      <c r="G3" s="1649"/>
      <c r="H3" s="1649"/>
      <c r="I3" s="1649"/>
      <c r="J3" s="1649"/>
      <c r="K3" s="1649"/>
      <c r="L3" s="1649"/>
      <c r="M3" s="1649"/>
    </row>
    <row r="4" spans="2:13" s="5" customFormat="1" x14ac:dyDescent="0.3">
      <c r="B4" s="1599" t="s">
        <v>255</v>
      </c>
      <c r="C4" s="1649"/>
      <c r="D4" s="1649"/>
      <c r="E4" s="1649"/>
      <c r="F4" s="1649"/>
      <c r="G4" s="1649"/>
      <c r="H4" s="1649"/>
      <c r="I4" s="1649"/>
      <c r="J4" s="1649"/>
      <c r="K4" s="1649"/>
      <c r="L4" s="1649"/>
      <c r="M4" s="1649"/>
    </row>
    <row r="6" spans="2:13" x14ac:dyDescent="0.25">
      <c r="H6" s="21"/>
      <c r="M6" s="21" t="s">
        <v>10</v>
      </c>
    </row>
    <row r="7" spans="2:13" ht="12.75" customHeight="1" x14ac:dyDescent="0.25">
      <c r="B7" s="1593" t="s">
        <v>340</v>
      </c>
      <c r="C7" s="1603" t="s">
        <v>38</v>
      </c>
      <c r="D7" s="287" t="s">
        <v>505</v>
      </c>
      <c r="E7" s="287" t="s">
        <v>506</v>
      </c>
      <c r="F7" s="1593" t="s">
        <v>507</v>
      </c>
      <c r="G7" s="1593"/>
      <c r="H7" s="1593"/>
      <c r="I7" s="1630" t="s">
        <v>1066</v>
      </c>
      <c r="J7" s="1630"/>
      <c r="K7" s="1630"/>
      <c r="L7" s="1630"/>
      <c r="M7" s="1630"/>
    </row>
    <row r="8" spans="2:13" ht="28" x14ac:dyDescent="0.25">
      <c r="B8" s="1593"/>
      <c r="C8" s="1603"/>
      <c r="D8" s="287" t="s">
        <v>80</v>
      </c>
      <c r="E8" s="287" t="s">
        <v>80</v>
      </c>
      <c r="F8" s="287" t="s">
        <v>444</v>
      </c>
      <c r="G8" s="287" t="s">
        <v>447</v>
      </c>
      <c r="H8" s="287" t="s">
        <v>81</v>
      </c>
      <c r="I8" s="646" t="s">
        <v>1067</v>
      </c>
      <c r="J8" s="646" t="s">
        <v>1068</v>
      </c>
      <c r="K8" s="646" t="s">
        <v>1069</v>
      </c>
      <c r="L8" s="646" t="s">
        <v>1070</v>
      </c>
      <c r="M8" s="646" t="s">
        <v>1071</v>
      </c>
    </row>
    <row r="9" spans="2:13" x14ac:dyDescent="0.25">
      <c r="B9" s="1593"/>
      <c r="C9" s="1603"/>
      <c r="D9" s="287" t="s">
        <v>82</v>
      </c>
      <c r="E9" s="287" t="s">
        <v>83</v>
      </c>
      <c r="F9" s="287" t="s">
        <v>391</v>
      </c>
      <c r="G9" s="287" t="s">
        <v>392</v>
      </c>
      <c r="H9" s="287" t="s">
        <v>393</v>
      </c>
      <c r="I9" s="638" t="s">
        <v>21</v>
      </c>
      <c r="J9" s="638" t="s">
        <v>21</v>
      </c>
      <c r="K9" s="638" t="s">
        <v>21</v>
      </c>
      <c r="L9" s="638" t="s">
        <v>21</v>
      </c>
      <c r="M9" s="638" t="s">
        <v>21</v>
      </c>
    </row>
    <row r="10" spans="2:13" x14ac:dyDescent="0.3">
      <c r="B10" s="94">
        <v>1</v>
      </c>
      <c r="C10" s="26" t="s">
        <v>256</v>
      </c>
      <c r="D10" s="302">
        <v>40.659660663958284</v>
      </c>
      <c r="E10" s="302">
        <v>44.8207986046611</v>
      </c>
      <c r="F10" s="302">
        <v>19.630557754799224</v>
      </c>
      <c r="G10" s="302">
        <v>27.188489701280702</v>
      </c>
      <c r="H10" s="315">
        <f>F10+G10</f>
        <v>46.819047456079929</v>
      </c>
      <c r="I10" s="315"/>
      <c r="J10" s="315"/>
      <c r="K10" s="315"/>
      <c r="L10" s="315"/>
      <c r="M10" s="315"/>
    </row>
    <row r="11" spans="2:13" x14ac:dyDescent="0.3">
      <c r="B11" s="94">
        <v>2</v>
      </c>
      <c r="C11" s="413" t="s">
        <v>830</v>
      </c>
      <c r="D11" s="302">
        <v>1.6595800631149002E-3</v>
      </c>
      <c r="E11" s="302">
        <v>2.0011965398453649E-4</v>
      </c>
      <c r="F11" s="302">
        <v>0</v>
      </c>
      <c r="G11" s="302">
        <v>0</v>
      </c>
      <c r="H11" s="315">
        <f t="shared" ref="H11:H17" si="0">F11+G11</f>
        <v>0</v>
      </c>
      <c r="I11" s="315"/>
      <c r="J11" s="315"/>
      <c r="K11" s="315"/>
      <c r="L11" s="315"/>
      <c r="M11" s="315"/>
    </row>
    <row r="12" spans="2:13" x14ac:dyDescent="0.3">
      <c r="B12" s="94">
        <v>3</v>
      </c>
      <c r="C12" s="26" t="s">
        <v>831</v>
      </c>
      <c r="D12" s="302">
        <v>0</v>
      </c>
      <c r="E12" s="302">
        <v>1.4999311031156702E-3</v>
      </c>
      <c r="F12" s="302">
        <v>0</v>
      </c>
      <c r="G12" s="302">
        <v>0</v>
      </c>
      <c r="H12" s="315">
        <f t="shared" si="0"/>
        <v>0</v>
      </c>
      <c r="I12" s="315"/>
      <c r="J12" s="315"/>
      <c r="K12" s="315"/>
      <c r="L12" s="315"/>
      <c r="M12" s="315"/>
    </row>
    <row r="13" spans="2:13" x14ac:dyDescent="0.3">
      <c r="B13" s="94">
        <v>4</v>
      </c>
      <c r="C13" s="26" t="s">
        <v>257</v>
      </c>
      <c r="D13" s="302"/>
      <c r="E13" s="302"/>
      <c r="F13" s="302"/>
      <c r="G13" s="302"/>
      <c r="H13" s="315">
        <f t="shared" si="0"/>
        <v>0</v>
      </c>
      <c r="I13" s="315"/>
      <c r="J13" s="315"/>
      <c r="K13" s="315"/>
      <c r="L13" s="315"/>
      <c r="M13" s="315"/>
    </row>
    <row r="14" spans="2:13" x14ac:dyDescent="0.3">
      <c r="B14" s="94">
        <v>5</v>
      </c>
      <c r="C14" s="26" t="s">
        <v>258</v>
      </c>
      <c r="D14" s="302">
        <v>2.1471389069983138E-2</v>
      </c>
      <c r="E14" s="302">
        <v>6.0560006736584248E-4</v>
      </c>
      <c r="F14" s="302">
        <v>4.9441314293018519E-3</v>
      </c>
      <c r="G14" s="302">
        <v>6.8476641431386822E-3</v>
      </c>
      <c r="H14" s="315">
        <f t="shared" si="0"/>
        <v>1.1791795572440533E-2</v>
      </c>
      <c r="I14" s="315"/>
      <c r="J14" s="315"/>
      <c r="K14" s="315"/>
      <c r="L14" s="315"/>
      <c r="M14" s="315"/>
    </row>
    <row r="15" spans="2:13" x14ac:dyDescent="0.3">
      <c r="B15" s="94">
        <v>6</v>
      </c>
      <c r="C15" s="26" t="s">
        <v>259</v>
      </c>
      <c r="D15" s="302"/>
      <c r="E15" s="302"/>
      <c r="F15" s="302"/>
      <c r="G15" s="302"/>
      <c r="H15" s="315">
        <f t="shared" si="0"/>
        <v>0</v>
      </c>
      <c r="I15" s="315"/>
      <c r="J15" s="315"/>
      <c r="K15" s="315"/>
      <c r="L15" s="315"/>
      <c r="M15" s="315"/>
    </row>
    <row r="16" spans="2:13" x14ac:dyDescent="0.3">
      <c r="B16" s="94">
        <v>7</v>
      </c>
      <c r="C16" s="26" t="s">
        <v>260</v>
      </c>
      <c r="D16" s="302"/>
      <c r="E16" s="302"/>
      <c r="F16" s="302"/>
      <c r="G16" s="302"/>
      <c r="H16" s="315">
        <f t="shared" si="0"/>
        <v>0</v>
      </c>
      <c r="I16" s="315"/>
      <c r="J16" s="315"/>
      <c r="K16" s="315"/>
      <c r="L16" s="315"/>
      <c r="M16" s="315"/>
    </row>
    <row r="17" spans="2:13" x14ac:dyDescent="0.3">
      <c r="B17" s="94">
        <v>8</v>
      </c>
      <c r="C17" s="26" t="s">
        <v>261</v>
      </c>
      <c r="D17" s="302"/>
      <c r="E17" s="302"/>
      <c r="F17" s="302"/>
      <c r="G17" s="302"/>
      <c r="H17" s="315">
        <f t="shared" si="0"/>
        <v>0</v>
      </c>
      <c r="I17" s="315"/>
      <c r="J17" s="315"/>
      <c r="K17" s="315"/>
      <c r="L17" s="315"/>
      <c r="M17" s="315"/>
    </row>
    <row r="18" spans="2:13" x14ac:dyDescent="0.3">
      <c r="B18" s="94">
        <v>9</v>
      </c>
      <c r="C18" s="450" t="s">
        <v>1142</v>
      </c>
      <c r="D18" s="302">
        <v>-2.8168934324224516E-3</v>
      </c>
      <c r="E18" s="302">
        <v>-0.15551380138277321</v>
      </c>
      <c r="F18" s="302">
        <v>0</v>
      </c>
      <c r="G18" s="302">
        <v>0</v>
      </c>
      <c r="H18" s="315"/>
      <c r="I18" s="315"/>
      <c r="J18" s="315"/>
      <c r="K18" s="315"/>
      <c r="L18" s="315"/>
      <c r="M18" s="315"/>
    </row>
    <row r="19" spans="2:13" x14ac:dyDescent="0.3">
      <c r="B19" s="94">
        <v>10</v>
      </c>
      <c r="C19" s="450" t="s">
        <v>1141</v>
      </c>
      <c r="D19" s="302">
        <v>-6.9091096123107806E-2</v>
      </c>
      <c r="E19" s="302">
        <v>4.8702321101227533E-2</v>
      </c>
      <c r="F19" s="302">
        <v>0</v>
      </c>
      <c r="G19" s="302">
        <v>0</v>
      </c>
      <c r="H19" s="315"/>
      <c r="I19" s="315"/>
      <c r="J19" s="315"/>
      <c r="K19" s="315"/>
      <c r="L19" s="315"/>
      <c r="M19" s="315"/>
    </row>
    <row r="20" spans="2:13" s="311" customFormat="1" x14ac:dyDescent="0.3">
      <c r="B20" s="94">
        <v>11</v>
      </c>
      <c r="C20" s="54" t="s">
        <v>805</v>
      </c>
      <c r="D20" s="315">
        <v>0.34223527717755597</v>
      </c>
      <c r="E20" s="315">
        <v>0.66625406303521006</v>
      </c>
      <c r="F20" s="315">
        <v>0</v>
      </c>
      <c r="G20" s="315">
        <v>0</v>
      </c>
      <c r="H20" s="315"/>
      <c r="I20" s="315"/>
      <c r="J20" s="315"/>
      <c r="K20" s="315"/>
      <c r="L20" s="315"/>
      <c r="M20" s="315"/>
    </row>
    <row r="21" spans="2:13" s="311" customFormat="1" x14ac:dyDescent="0.3">
      <c r="B21" s="94">
        <v>12</v>
      </c>
      <c r="C21" s="305" t="s">
        <v>262</v>
      </c>
      <c r="D21" s="358">
        <f>SUM(D10:D20)</f>
        <v>40.953118920713401</v>
      </c>
      <c r="E21" s="358">
        <f>SUM(E10:E20)</f>
        <v>45.382546838239229</v>
      </c>
      <c r="F21" s="358">
        <f>SUM(F10:F20)</f>
        <v>19.635501886228525</v>
      </c>
      <c r="G21" s="358">
        <f>SUM(G10:G20)</f>
        <v>27.195337365423839</v>
      </c>
      <c r="H21" s="358">
        <f>SUM(H10:H20)</f>
        <v>46.830839251652371</v>
      </c>
      <c r="I21" s="358">
        <f t="shared" ref="I21:M21" si="1">SUM(I10:I20)</f>
        <v>0</v>
      </c>
      <c r="J21" s="358">
        <f t="shared" si="1"/>
        <v>0</v>
      </c>
      <c r="K21" s="358">
        <f t="shared" si="1"/>
        <v>0</v>
      </c>
      <c r="L21" s="358">
        <f t="shared" si="1"/>
        <v>0</v>
      </c>
      <c r="M21" s="358">
        <f t="shared" si="1"/>
        <v>0</v>
      </c>
    </row>
    <row r="22" spans="2:13" s="311" customFormat="1" x14ac:dyDescent="0.25">
      <c r="B22" s="94"/>
      <c r="C22" s="430"/>
      <c r="D22" s="315"/>
      <c r="E22" s="315"/>
      <c r="F22" s="315"/>
      <c r="G22" s="315"/>
      <c r="H22" s="315"/>
      <c r="I22" s="315"/>
      <c r="J22" s="315"/>
      <c r="K22" s="315"/>
      <c r="L22" s="315"/>
      <c r="M22" s="315"/>
    </row>
    <row r="23" spans="2:13" s="311" customFormat="1" x14ac:dyDescent="0.25">
      <c r="B23" s="94">
        <v>14</v>
      </c>
      <c r="C23" s="431" t="s">
        <v>263</v>
      </c>
      <c r="D23" s="315">
        <f>'F5'!D31</f>
        <v>465.85198681252064</v>
      </c>
      <c r="E23" s="315">
        <f>'F5'!I31</f>
        <v>465.8342093205207</v>
      </c>
      <c r="F23" s="315">
        <f>'F5'!N31</f>
        <v>466.24213845652071</v>
      </c>
      <c r="G23" s="315">
        <f>'F5'!N31</f>
        <v>466.24213845652071</v>
      </c>
      <c r="H23" s="315">
        <f>AVERAGE(F23:G23)</f>
        <v>466.24213845652071</v>
      </c>
      <c r="I23" s="315">
        <f>'F5 (T)'!$S$31</f>
        <v>471.86749125652068</v>
      </c>
      <c r="J23" s="315">
        <f>'F5 (T)'!$D$57</f>
        <v>471.86749125652068</v>
      </c>
      <c r="K23" s="315">
        <f>'F5 (T)'!$I$57</f>
        <v>571.36749125652068</v>
      </c>
      <c r="L23" s="315">
        <f>'F5 (T)'!$N$57</f>
        <v>571.36749125652068</v>
      </c>
      <c r="M23" s="315">
        <f>'F5 (T)'!$S$57</f>
        <v>571.36749125652068</v>
      </c>
    </row>
    <row r="24" spans="2:13" s="311" customFormat="1" x14ac:dyDescent="0.25">
      <c r="B24" s="94">
        <v>15</v>
      </c>
      <c r="C24" s="431" t="s">
        <v>264</v>
      </c>
      <c r="D24" s="356">
        <f>D21/D23</f>
        <v>8.7910151893791838E-2</v>
      </c>
      <c r="E24" s="356">
        <f t="shared" ref="E24:M24" si="2">E21/E23</f>
        <v>9.74220998162319E-2</v>
      </c>
      <c r="F24" s="356">
        <f t="shared" si="2"/>
        <v>4.2114387067696643E-2</v>
      </c>
      <c r="G24" s="356">
        <f t="shared" si="2"/>
        <v>5.832878481437373E-2</v>
      </c>
      <c r="H24" s="356">
        <f t="shared" si="2"/>
        <v>0.10044317188207039</v>
      </c>
      <c r="I24" s="356">
        <f t="shared" si="2"/>
        <v>0</v>
      </c>
      <c r="J24" s="356">
        <f t="shared" si="2"/>
        <v>0</v>
      </c>
      <c r="K24" s="356">
        <f t="shared" si="2"/>
        <v>0</v>
      </c>
      <c r="L24" s="356">
        <f t="shared" si="2"/>
        <v>0</v>
      </c>
      <c r="M24" s="356">
        <f t="shared" si="2"/>
        <v>0</v>
      </c>
    </row>
    <row r="25" spans="2:13" x14ac:dyDescent="0.25">
      <c r="B25" s="94"/>
      <c r="C25" s="28"/>
      <c r="D25" s="302"/>
      <c r="E25" s="302"/>
      <c r="F25" s="302"/>
      <c r="G25" s="315"/>
      <c r="H25" s="315"/>
      <c r="I25" s="321"/>
      <c r="J25" s="321"/>
      <c r="K25" s="321"/>
      <c r="L25" s="321"/>
      <c r="M25" s="321"/>
    </row>
  </sheetData>
  <mergeCells count="7">
    <mergeCell ref="B2:M2"/>
    <mergeCell ref="B3:M3"/>
    <mergeCell ref="B4:M4"/>
    <mergeCell ref="B7:B9"/>
    <mergeCell ref="C7:C9"/>
    <mergeCell ref="F7:H7"/>
    <mergeCell ref="I7:M7"/>
  </mergeCells>
  <pageMargins left="0.75" right="0.75" top="1" bottom="1" header="0.5" footer="0.5"/>
  <pageSetup paperSize="9" scale="61"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U17"/>
  <sheetViews>
    <sheetView showGridLines="0" view="pageBreakPreview" topLeftCell="D1" zoomScaleSheetLayoutView="100" workbookViewId="0">
      <selection activeCell="K12" sqref="K12"/>
    </sheetView>
  </sheetViews>
  <sheetFormatPr defaultColWidth="9.36328125" defaultRowHeight="14" x14ac:dyDescent="0.3"/>
  <cols>
    <col min="1" max="1" width="4.36328125" style="5" customWidth="1"/>
    <col min="2" max="2" width="6.36328125" style="5" customWidth="1"/>
    <col min="3" max="3" width="30.08984375" style="5" customWidth="1"/>
    <col min="4" max="4" width="13.6328125" style="5" bestFit="1" customWidth="1"/>
    <col min="5" max="5" width="12.54296875" style="5" bestFit="1" customWidth="1"/>
    <col min="6" max="6" width="13.453125" style="5" bestFit="1" customWidth="1"/>
    <col min="7" max="9" width="13.453125" style="5" customWidth="1"/>
    <col min="10" max="10" width="13.6328125" style="5" bestFit="1" customWidth="1"/>
    <col min="11" max="11" width="12.54296875" style="5" customWidth="1"/>
    <col min="12" max="12" width="11.6328125" style="5" bestFit="1" customWidth="1"/>
    <col min="13" max="13" width="13.6328125" style="5" bestFit="1" customWidth="1"/>
    <col min="14" max="14" width="20.36328125" style="5" bestFit="1" customWidth="1"/>
    <col min="15" max="17" width="11.6328125" style="5" bestFit="1" customWidth="1"/>
    <col min="18" max="18" width="11.6328125" style="5" customWidth="1"/>
    <col min="19" max="20" width="11.6328125" style="5" bestFit="1" customWidth="1"/>
    <col min="21" max="16384" width="9.36328125" style="5"/>
  </cols>
  <sheetData>
    <row r="1" spans="1:21" x14ac:dyDescent="0.3">
      <c r="B1" s="48"/>
    </row>
    <row r="2" spans="1:21" x14ac:dyDescent="0.3">
      <c r="B2" s="1598" t="str">
        <f>Index!B2</f>
        <v xml:space="preserve">      Maharashtra State Power Generation Company Ltd.</v>
      </c>
      <c r="C2" s="1649"/>
      <c r="D2" s="1649"/>
      <c r="E2" s="1649"/>
      <c r="F2" s="1649"/>
      <c r="G2" s="1649"/>
      <c r="H2" s="1649"/>
      <c r="I2" s="1649"/>
      <c r="J2" s="1649"/>
      <c r="K2" s="1649"/>
      <c r="L2" s="1649"/>
      <c r="M2" s="1649"/>
      <c r="N2" s="1649"/>
      <c r="O2" s="112"/>
    </row>
    <row r="3" spans="1:21" x14ac:dyDescent="0.3">
      <c r="B3" s="1598" t="str">
        <f>Index!B3</f>
        <v>MYT Petition Formats for Bhusawal Unit 3</v>
      </c>
      <c r="C3" s="1649"/>
      <c r="D3" s="1649"/>
      <c r="E3" s="1649"/>
      <c r="F3" s="1649"/>
      <c r="G3" s="1649"/>
      <c r="H3" s="1649"/>
      <c r="I3" s="1649"/>
      <c r="J3" s="1649"/>
      <c r="K3" s="1649"/>
      <c r="L3" s="1649"/>
      <c r="M3" s="1649"/>
      <c r="N3" s="1649"/>
      <c r="O3" s="60"/>
    </row>
    <row r="4" spans="1:21" x14ac:dyDescent="0.3">
      <c r="B4" s="1599" t="s">
        <v>479</v>
      </c>
      <c r="C4" s="1649"/>
      <c r="D4" s="1649"/>
      <c r="E4" s="1649"/>
      <c r="F4" s="1649"/>
      <c r="G4" s="1649"/>
      <c r="H4" s="1649"/>
      <c r="I4" s="1649"/>
      <c r="J4" s="1649"/>
      <c r="K4" s="1649"/>
      <c r="L4" s="1649"/>
      <c r="M4" s="1649"/>
      <c r="N4" s="1649"/>
      <c r="O4" s="1649"/>
    </row>
    <row r="5" spans="1:21" x14ac:dyDescent="0.3">
      <c r="B5" s="212"/>
      <c r="C5" s="211"/>
      <c r="D5" s="222"/>
      <c r="E5" s="222"/>
      <c r="F5" s="222"/>
      <c r="G5" s="283"/>
      <c r="H5" s="283"/>
      <c r="I5" s="283"/>
      <c r="J5" s="211"/>
      <c r="K5" s="211"/>
      <c r="L5" s="211"/>
      <c r="M5" s="211"/>
      <c r="N5" s="211"/>
      <c r="O5" s="211"/>
    </row>
    <row r="6" spans="1:21" x14ac:dyDescent="0.3">
      <c r="T6" s="21" t="s">
        <v>10</v>
      </c>
    </row>
    <row r="7" spans="1:21" s="14" customFormat="1" ht="15" customHeight="1" x14ac:dyDescent="0.25">
      <c r="B7" s="1727" t="s">
        <v>340</v>
      </c>
      <c r="C7" s="1738" t="s">
        <v>38</v>
      </c>
      <c r="D7" s="1740" t="s">
        <v>505</v>
      </c>
      <c r="E7" s="1741"/>
      <c r="F7" s="1742"/>
      <c r="G7" s="1740" t="s">
        <v>506</v>
      </c>
      <c r="H7" s="1741"/>
      <c r="I7" s="1742"/>
      <c r="J7" s="1740" t="s">
        <v>507</v>
      </c>
      <c r="K7" s="1741"/>
      <c r="L7" s="1741"/>
      <c r="M7" s="1741"/>
      <c r="N7" s="1742"/>
      <c r="O7" s="1620" t="s">
        <v>1066</v>
      </c>
      <c r="P7" s="1620"/>
      <c r="Q7" s="1620"/>
      <c r="R7" s="1620"/>
      <c r="S7" s="1620"/>
      <c r="T7" s="1609" t="s">
        <v>28</v>
      </c>
    </row>
    <row r="8" spans="1:21" s="14" customFormat="1" ht="28" x14ac:dyDescent="0.25">
      <c r="B8" s="1728"/>
      <c r="C8" s="1738"/>
      <c r="D8" s="1126" t="s">
        <v>1680</v>
      </c>
      <c r="E8" s="1126" t="s">
        <v>80</v>
      </c>
      <c r="F8" s="1126" t="s">
        <v>449</v>
      </c>
      <c r="G8" s="1126" t="s">
        <v>1680</v>
      </c>
      <c r="H8" s="1126" t="s">
        <v>80</v>
      </c>
      <c r="I8" s="1126" t="s">
        <v>449</v>
      </c>
      <c r="J8" s="1126" t="s">
        <v>1680</v>
      </c>
      <c r="K8" s="1126" t="s">
        <v>443</v>
      </c>
      <c r="L8" s="1126" t="s">
        <v>447</v>
      </c>
      <c r="M8" s="1126" t="s">
        <v>81</v>
      </c>
      <c r="N8" s="1126" t="s">
        <v>450</v>
      </c>
      <c r="O8" s="1132" t="s">
        <v>1067</v>
      </c>
      <c r="P8" s="1132" t="s">
        <v>1068</v>
      </c>
      <c r="Q8" s="1132" t="s">
        <v>1069</v>
      </c>
      <c r="R8" s="1132" t="s">
        <v>1070</v>
      </c>
      <c r="S8" s="1132" t="s">
        <v>1071</v>
      </c>
      <c r="T8" s="1609"/>
    </row>
    <row r="9" spans="1:21" s="14" customFormat="1" x14ac:dyDescent="0.25">
      <c r="B9" s="1737"/>
      <c r="C9" s="1739"/>
      <c r="D9" s="1126" t="s">
        <v>82</v>
      </c>
      <c r="E9" s="1126" t="s">
        <v>83</v>
      </c>
      <c r="F9" s="1126" t="s">
        <v>675</v>
      </c>
      <c r="G9" s="1126" t="s">
        <v>391</v>
      </c>
      <c r="H9" s="1126" t="s">
        <v>409</v>
      </c>
      <c r="I9" s="1126" t="s">
        <v>454</v>
      </c>
      <c r="J9" s="1126" t="s">
        <v>653</v>
      </c>
      <c r="K9" s="1126" t="s">
        <v>589</v>
      </c>
      <c r="L9" s="1126" t="s">
        <v>590</v>
      </c>
      <c r="M9" s="1126" t="s">
        <v>677</v>
      </c>
      <c r="N9" s="1126" t="s">
        <v>678</v>
      </c>
      <c r="O9" s="1126" t="s">
        <v>21</v>
      </c>
      <c r="P9" s="1126" t="s">
        <v>21</v>
      </c>
      <c r="Q9" s="1126" t="s">
        <v>21</v>
      </c>
      <c r="R9" s="1126" t="s">
        <v>21</v>
      </c>
      <c r="S9" s="1126" t="s">
        <v>21</v>
      </c>
      <c r="T9" s="1736"/>
    </row>
    <row r="10" spans="1:21" s="85" customFormat="1" x14ac:dyDescent="0.25">
      <c r="B10" s="169">
        <v>1</v>
      </c>
      <c r="C10" s="155" t="s">
        <v>22</v>
      </c>
      <c r="D10" s="302"/>
      <c r="E10" s="1336">
        <f>'F4.2'!U102</f>
        <v>0.26236300800000001</v>
      </c>
      <c r="F10" s="302">
        <f>E10-D10</f>
        <v>0.26236300800000001</v>
      </c>
      <c r="G10" s="302"/>
      <c r="H10" s="1336">
        <f>'F4.2'!V102</f>
        <v>0.21358713600000001</v>
      </c>
      <c r="I10" s="302">
        <f>H10-G10</f>
        <v>0.21358713600000001</v>
      </c>
      <c r="J10" s="315"/>
      <c r="K10" s="1336"/>
      <c r="L10" s="302"/>
      <c r="M10" s="1336">
        <f>'F4.2'!W102</f>
        <v>5.54</v>
      </c>
      <c r="N10" s="317">
        <f>M10-J10</f>
        <v>5.54</v>
      </c>
      <c r="O10" s="317">
        <f>'F4.2'!X$102</f>
        <v>0</v>
      </c>
      <c r="P10" s="317">
        <f>'F4.2'!Y$102</f>
        <v>398</v>
      </c>
      <c r="Q10" s="317">
        <f>'F4.2'!Z$102</f>
        <v>0</v>
      </c>
      <c r="R10" s="317">
        <f>'F4.2'!AA$102</f>
        <v>0</v>
      </c>
      <c r="S10" s="317">
        <f>'F4.2'!AB$102</f>
        <v>0</v>
      </c>
      <c r="T10" s="317"/>
      <c r="U10" s="318"/>
    </row>
    <row r="11" spans="1:21" s="85" customFormat="1" x14ac:dyDescent="0.25">
      <c r="B11" s="169"/>
      <c r="C11" s="155"/>
      <c r="D11" s="302"/>
      <c r="E11" s="302"/>
      <c r="F11" s="302"/>
      <c r="G11" s="302"/>
      <c r="H11" s="302"/>
      <c r="I11" s="302"/>
      <c r="J11" s="315"/>
      <c r="K11" s="317"/>
      <c r="L11" s="317"/>
      <c r="M11" s="317"/>
      <c r="N11" s="317"/>
      <c r="O11" s="317"/>
      <c r="P11" s="317"/>
      <c r="Q11" s="317"/>
      <c r="R11" s="317"/>
      <c r="S11" s="317"/>
      <c r="T11" s="317"/>
      <c r="U11" s="318"/>
    </row>
    <row r="12" spans="1:21" s="85" customFormat="1" x14ac:dyDescent="0.25">
      <c r="B12" s="169">
        <f>B10+1</f>
        <v>2</v>
      </c>
      <c r="C12" s="86" t="s">
        <v>18</v>
      </c>
      <c r="D12" s="319">
        <v>0</v>
      </c>
      <c r="E12" s="319">
        <f>'F5 (T)'!E31</f>
        <v>0.26236300800000001</v>
      </c>
      <c r="F12" s="302">
        <f>E12-D12</f>
        <v>0.26236300800000001</v>
      </c>
      <c r="G12" s="772">
        <v>5.54</v>
      </c>
      <c r="H12" s="319">
        <f>'F5 (T)'!J31</f>
        <v>0.40792913599999997</v>
      </c>
      <c r="I12" s="302">
        <f>H12-G12</f>
        <v>-5.1320708640000001</v>
      </c>
      <c r="J12" s="773">
        <v>0</v>
      </c>
      <c r="K12" s="319">
        <v>0</v>
      </c>
      <c r="L12" s="319">
        <v>5.6253527999999999</v>
      </c>
      <c r="M12" s="317">
        <f>K12+L12</f>
        <v>5.6253527999999999</v>
      </c>
      <c r="N12" s="317">
        <f>M12-J12</f>
        <v>5.6253527999999999</v>
      </c>
      <c r="O12" s="319">
        <f>'F5 (T)'!$T$31</f>
        <v>0</v>
      </c>
      <c r="P12" s="319">
        <f>'F5 (T)'!$E$57</f>
        <v>99.5</v>
      </c>
      <c r="Q12" s="319">
        <f>'F5 (T)'!$J$57</f>
        <v>0</v>
      </c>
      <c r="R12" s="319">
        <f>'F5 (T)'!$O$57</f>
        <v>0</v>
      </c>
      <c r="S12" s="319">
        <f>'F5 (T)'!$T$57</f>
        <v>0</v>
      </c>
      <c r="T12" s="319"/>
      <c r="U12" s="318"/>
    </row>
    <row r="13" spans="1:21" s="85" customFormat="1" x14ac:dyDescent="0.25">
      <c r="B13" s="169">
        <f>B12+1</f>
        <v>3</v>
      </c>
      <c r="C13" s="86" t="s">
        <v>414</v>
      </c>
      <c r="D13" s="319"/>
      <c r="E13" s="319"/>
      <c r="F13" s="302">
        <f>E13-D13</f>
        <v>0</v>
      </c>
      <c r="G13" s="319"/>
      <c r="H13" s="319"/>
      <c r="I13" s="302">
        <f>H13-G13</f>
        <v>0</v>
      </c>
      <c r="J13" s="320"/>
      <c r="K13" s="319"/>
      <c r="L13" s="319"/>
      <c r="M13" s="317">
        <f>K13+L13</f>
        <v>0</v>
      </c>
      <c r="N13" s="317">
        <f>M13-J13</f>
        <v>0</v>
      </c>
      <c r="O13" s="319"/>
      <c r="P13" s="319"/>
      <c r="Q13" s="319"/>
      <c r="R13" s="319"/>
      <c r="S13" s="319"/>
      <c r="T13" s="319"/>
      <c r="U13" s="318"/>
    </row>
    <row r="14" spans="1:21" s="87" customFormat="1" x14ac:dyDescent="0.25">
      <c r="B14" s="169">
        <f>B13+1</f>
        <v>4</v>
      </c>
      <c r="C14" s="86" t="s">
        <v>480</v>
      </c>
      <c r="D14" s="319">
        <f>D12+D13</f>
        <v>0</v>
      </c>
      <c r="E14" s="319">
        <f>E12+E13</f>
        <v>0.26236300800000001</v>
      </c>
      <c r="F14" s="319">
        <f t="shared" ref="F14:S14" si="0">F12+F13</f>
        <v>0.26236300800000001</v>
      </c>
      <c r="G14" s="319">
        <f t="shared" si="0"/>
        <v>5.54</v>
      </c>
      <c r="H14" s="319">
        <f t="shared" si="0"/>
        <v>0.40792913599999997</v>
      </c>
      <c r="I14" s="319">
        <f t="shared" si="0"/>
        <v>-5.1320708640000001</v>
      </c>
      <c r="J14" s="319">
        <f t="shared" si="0"/>
        <v>0</v>
      </c>
      <c r="K14" s="319">
        <f t="shared" si="0"/>
        <v>0</v>
      </c>
      <c r="L14" s="319">
        <f t="shared" si="0"/>
        <v>5.6253527999999999</v>
      </c>
      <c r="M14" s="319">
        <f>M12+M13</f>
        <v>5.6253527999999999</v>
      </c>
      <c r="N14" s="319">
        <f t="shared" si="0"/>
        <v>5.6253527999999999</v>
      </c>
      <c r="O14" s="319">
        <f t="shared" si="0"/>
        <v>0</v>
      </c>
      <c r="P14" s="319">
        <f>P12+P13</f>
        <v>99.5</v>
      </c>
      <c r="Q14" s="319">
        <f t="shared" si="0"/>
        <v>0</v>
      </c>
      <c r="R14" s="319">
        <f t="shared" si="0"/>
        <v>0</v>
      </c>
      <c r="S14" s="319">
        <f t="shared" si="0"/>
        <v>0</v>
      </c>
      <c r="T14" s="319"/>
      <c r="U14" s="321"/>
    </row>
    <row r="15" spans="1:21" s="60" customFormat="1" x14ac:dyDescent="0.25">
      <c r="B15" s="214"/>
      <c r="C15" s="215"/>
      <c r="D15" s="215"/>
      <c r="E15" s="1358">
        <f>'F5 (T)'!E31-E14</f>
        <v>0</v>
      </c>
      <c r="F15" s="215"/>
      <c r="G15" s="215"/>
      <c r="H15" s="1358">
        <f>'F5 (T)'!J31-H14</f>
        <v>0</v>
      </c>
      <c r="I15" s="215"/>
      <c r="J15" s="216"/>
      <c r="K15" s="216"/>
      <c r="L15" s="216"/>
      <c r="M15" s="1359">
        <f>'F5 (T)'!O31-M14</f>
        <v>0</v>
      </c>
      <c r="N15" s="216"/>
      <c r="O15" s="1359">
        <f>'F5 (T)'!$T$31-O14</f>
        <v>0</v>
      </c>
      <c r="P15" s="1360">
        <f>'F5 (T)'!$E$57-P14</f>
        <v>0</v>
      </c>
      <c r="Q15" s="1360">
        <f>'F5 (T)'!$J$57-Q14</f>
        <v>0</v>
      </c>
      <c r="R15" s="1360">
        <f>'F5 (T)'!$O$57-R14</f>
        <v>0</v>
      </c>
      <c r="S15" s="1360">
        <f>'F5 (T)'!$T$57-S14</f>
        <v>0</v>
      </c>
    </row>
    <row r="16" spans="1:21" s="1" customFormat="1" x14ac:dyDescent="0.3">
      <c r="A16" s="5"/>
      <c r="B16" s="14" t="s">
        <v>1679</v>
      </c>
      <c r="K16" s="5"/>
      <c r="L16" s="5"/>
      <c r="M16" s="5"/>
      <c r="N16" s="5"/>
      <c r="O16" s="5"/>
    </row>
    <row r="17" spans="1:15" s="1" customFormat="1" x14ac:dyDescent="0.3">
      <c r="A17" s="5"/>
      <c r="B17" s="14"/>
      <c r="C17" s="1" t="s">
        <v>634</v>
      </c>
      <c r="K17" s="5"/>
      <c r="L17" s="5"/>
      <c r="M17" s="5"/>
      <c r="N17" s="5"/>
      <c r="O17" s="5"/>
    </row>
  </sheetData>
  <mergeCells count="10">
    <mergeCell ref="B2:N2"/>
    <mergeCell ref="B3:N3"/>
    <mergeCell ref="T7:T9"/>
    <mergeCell ref="B4:O4"/>
    <mergeCell ref="B7:B9"/>
    <mergeCell ref="C7:C9"/>
    <mergeCell ref="J7:N7"/>
    <mergeCell ref="D7:F7"/>
    <mergeCell ref="G7:I7"/>
    <mergeCell ref="O7:S7"/>
  </mergeCells>
  <pageMargins left="1.02" right="0.25" top="1" bottom="1" header="0.25" footer="0.25"/>
  <pageSetup paperSize="9" scale="51" orientation="landscape" r:id="rId1"/>
  <headerFooter alignWithMargins="0">
    <oddHeader>&amp;F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77"/>
  <sheetViews>
    <sheetView view="pageBreakPreview" zoomScale="70" zoomScaleNormal="70" zoomScaleSheetLayoutView="70" workbookViewId="0">
      <pane xSplit="2" ySplit="6" topLeftCell="C10" activePane="bottomRight" state="frozen"/>
      <selection activeCell="M7" sqref="M7"/>
      <selection pane="topRight" activeCell="M7" sqref="M7"/>
      <selection pane="bottomLeft" activeCell="M7" sqref="M7"/>
      <selection pane="bottomRight" sqref="A1:XFD1048576"/>
    </sheetView>
  </sheetViews>
  <sheetFormatPr defaultColWidth="9.1796875" defaultRowHeight="14" x14ac:dyDescent="0.3"/>
  <cols>
    <col min="1" max="1" width="8.26953125" style="1384" customWidth="1"/>
    <col min="2" max="2" width="85" style="1385" customWidth="1"/>
    <col min="3" max="3" width="15.7265625" style="1385" customWidth="1"/>
    <col min="4" max="4" width="22.1796875" style="1385" customWidth="1"/>
    <col min="5" max="5" width="15.7265625" style="1385" customWidth="1"/>
    <col min="6" max="6" width="20.26953125" style="1" bestFit="1" customWidth="1"/>
    <col min="7" max="7" width="15.54296875" style="1" customWidth="1"/>
    <col min="8" max="8" width="14.26953125" style="1" customWidth="1"/>
    <col min="9" max="13" width="15.453125" style="1" customWidth="1"/>
    <col min="14" max="14" width="18.81640625" style="1" customWidth="1"/>
    <col min="15" max="15" width="22.7265625" style="1" bestFit="1" customWidth="1"/>
    <col min="16" max="16" width="19" style="1" bestFit="1" customWidth="1"/>
    <col min="17" max="18" width="16.453125" style="1" customWidth="1"/>
    <col min="19" max="19" width="20.7265625" style="1385" bestFit="1" customWidth="1"/>
    <col min="20" max="20" width="12.7265625" style="1" customWidth="1"/>
    <col min="21" max="21" width="14" style="1" customWidth="1"/>
    <col min="22" max="24" width="12.7265625" style="1" customWidth="1"/>
    <col min="25" max="25" width="15.26953125" style="1" customWidth="1"/>
    <col min="26" max="26" width="12.54296875" style="1" customWidth="1"/>
    <col min="27" max="27" width="13.453125" style="1" customWidth="1"/>
    <col min="28" max="28" width="13.54296875" style="1" customWidth="1"/>
    <col min="29" max="16384" width="9.1796875" style="1"/>
  </cols>
  <sheetData>
    <row r="1" spans="1:23" x14ac:dyDescent="0.3">
      <c r="C1" s="1386"/>
      <c r="D1" s="1386"/>
      <c r="E1" s="1386"/>
      <c r="F1" s="1387"/>
      <c r="G1" s="1388" t="s">
        <v>1747</v>
      </c>
      <c r="H1" s="1387"/>
      <c r="I1" s="1387"/>
      <c r="J1" s="1387"/>
      <c r="K1" s="1387"/>
      <c r="L1" s="1389"/>
      <c r="M1" s="1389"/>
      <c r="N1" s="1389"/>
      <c r="O1" s="1389"/>
      <c r="P1" s="1389"/>
      <c r="Q1" s="1389"/>
      <c r="R1" s="1389"/>
      <c r="S1" s="1390"/>
    </row>
    <row r="2" spans="1:23" x14ac:dyDescent="0.3">
      <c r="C2" s="1386"/>
      <c r="D2" s="1386"/>
      <c r="E2" s="1386"/>
      <c r="F2" s="1391"/>
      <c r="G2" s="1383" t="s">
        <v>1748</v>
      </c>
      <c r="H2" s="1391"/>
      <c r="I2" s="1391"/>
      <c r="J2" s="1391"/>
      <c r="K2" s="1391"/>
      <c r="L2" s="1392"/>
      <c r="M2" s="1392"/>
      <c r="N2" s="1392"/>
      <c r="O2" s="1392"/>
      <c r="P2" s="1392"/>
      <c r="Q2" s="1392"/>
      <c r="R2" s="1392"/>
      <c r="S2" s="1393"/>
      <c r="T2" s="808"/>
      <c r="U2" s="808"/>
      <c r="V2" s="808"/>
      <c r="W2" s="808"/>
    </row>
    <row r="3" spans="1:23" ht="17.5" x14ac:dyDescent="0.35">
      <c r="B3" s="1394" t="s">
        <v>0</v>
      </c>
      <c r="C3" s="1395"/>
      <c r="D3" s="1395"/>
      <c r="E3" s="1395"/>
      <c r="F3" s="1396"/>
      <c r="G3" s="1397" t="s">
        <v>499</v>
      </c>
      <c r="H3" s="1396"/>
      <c r="I3" s="1396"/>
      <c r="J3" s="1396"/>
      <c r="K3" s="1396"/>
      <c r="L3" s="1398"/>
      <c r="M3" s="1398"/>
      <c r="N3" s="1398"/>
      <c r="O3" s="1398"/>
      <c r="P3" s="1398"/>
      <c r="Q3" s="1398"/>
      <c r="R3" s="1398"/>
      <c r="S3" s="1399" t="s">
        <v>10</v>
      </c>
      <c r="T3" s="808"/>
      <c r="U3" s="808"/>
      <c r="V3" s="808"/>
      <c r="W3" s="808"/>
    </row>
    <row r="4" spans="1:23" s="91" customFormat="1" x14ac:dyDescent="0.25">
      <c r="A4" s="1743" t="s">
        <v>340</v>
      </c>
      <c r="B4" s="1744" t="s">
        <v>16</v>
      </c>
      <c r="C4" s="1744" t="s">
        <v>1</v>
      </c>
      <c r="D4" s="1744" t="s">
        <v>487</v>
      </c>
      <c r="E4" s="1744" t="s">
        <v>488</v>
      </c>
      <c r="F4" s="1639" t="s">
        <v>4</v>
      </c>
      <c r="G4" s="1639" t="s">
        <v>2</v>
      </c>
      <c r="H4" s="1639"/>
      <c r="I4" s="1639"/>
      <c r="J4" s="1639" t="s">
        <v>8</v>
      </c>
      <c r="K4" s="1639"/>
      <c r="L4" s="1639"/>
      <c r="M4" s="1639" t="s">
        <v>489</v>
      </c>
      <c r="N4" s="1639"/>
      <c r="O4" s="1639"/>
      <c r="P4" s="1639"/>
      <c r="Q4" s="1639"/>
      <c r="R4" s="1639"/>
      <c r="S4" s="1639"/>
    </row>
    <row r="5" spans="1:23" s="91" customFormat="1" x14ac:dyDescent="0.25">
      <c r="A5" s="1743"/>
      <c r="B5" s="1744"/>
      <c r="C5" s="1744"/>
      <c r="D5" s="1744"/>
      <c r="E5" s="1744"/>
      <c r="F5" s="1639"/>
      <c r="G5" s="1641" t="s">
        <v>11</v>
      </c>
      <c r="H5" s="1641" t="s">
        <v>9</v>
      </c>
      <c r="I5" s="1641" t="s">
        <v>490</v>
      </c>
      <c r="J5" s="1641" t="s">
        <v>11</v>
      </c>
      <c r="K5" s="1641" t="s">
        <v>9</v>
      </c>
      <c r="L5" s="1641" t="s">
        <v>7</v>
      </c>
      <c r="M5" s="1641" t="s">
        <v>26</v>
      </c>
      <c r="N5" s="1639" t="s">
        <v>491</v>
      </c>
      <c r="O5" s="1745" t="s">
        <v>667</v>
      </c>
      <c r="P5" s="1745"/>
      <c r="Q5" s="1745"/>
      <c r="R5" s="1745"/>
      <c r="S5" s="1745"/>
    </row>
    <row r="6" spans="1:23" ht="28" x14ac:dyDescent="0.3">
      <c r="A6" s="1743"/>
      <c r="B6" s="1744"/>
      <c r="C6" s="1744"/>
      <c r="D6" s="1744"/>
      <c r="E6" s="1744"/>
      <c r="F6" s="1639"/>
      <c r="G6" s="1641"/>
      <c r="H6" s="1641"/>
      <c r="I6" s="1641"/>
      <c r="J6" s="1641"/>
      <c r="K6" s="1641"/>
      <c r="L6" s="1641"/>
      <c r="M6" s="1641"/>
      <c r="N6" s="1639"/>
      <c r="O6" s="1380" t="s">
        <v>672</v>
      </c>
      <c r="P6" s="1380" t="s">
        <v>668</v>
      </c>
      <c r="Q6" s="1380" t="s">
        <v>669</v>
      </c>
      <c r="R6" s="1380" t="s">
        <v>670</v>
      </c>
      <c r="S6" s="1400" t="s">
        <v>671</v>
      </c>
    </row>
    <row r="7" spans="1:23" x14ac:dyDescent="0.3">
      <c r="A7" s="1401"/>
      <c r="B7" s="1402"/>
      <c r="C7" s="1402"/>
      <c r="D7" s="1402"/>
      <c r="E7" s="1402"/>
      <c r="F7" s="1267"/>
      <c r="G7" s="1268"/>
      <c r="H7" s="1268"/>
      <c r="I7" s="1268"/>
      <c r="J7" s="1268"/>
      <c r="K7" s="1268"/>
      <c r="L7" s="1268"/>
      <c r="M7" s="1268"/>
      <c r="N7" s="1267"/>
      <c r="O7" s="1267"/>
      <c r="P7" s="1267"/>
      <c r="Q7" s="1267"/>
      <c r="R7" s="1267"/>
      <c r="S7" s="1402"/>
    </row>
    <row r="8" spans="1:23" x14ac:dyDescent="0.3">
      <c r="A8" s="1403"/>
      <c r="B8" s="528" t="s">
        <v>937</v>
      </c>
      <c r="C8" s="9"/>
      <c r="D8" s="9"/>
      <c r="E8" s="9"/>
      <c r="F8" s="9"/>
      <c r="G8" s="9"/>
      <c r="H8" s="9"/>
      <c r="I8" s="9"/>
      <c r="J8" s="9"/>
      <c r="K8" s="9"/>
      <c r="L8" s="9"/>
      <c r="M8" s="9"/>
      <c r="N8" s="9"/>
      <c r="O8" s="9"/>
      <c r="P8" s="9"/>
      <c r="Q8" s="9"/>
      <c r="R8" s="9"/>
      <c r="S8" s="1404"/>
    </row>
    <row r="9" spans="1:23" x14ac:dyDescent="0.3">
      <c r="A9" s="1403"/>
      <c r="B9" s="1405" t="s">
        <v>24</v>
      </c>
      <c r="C9" s="9"/>
      <c r="D9" s="9"/>
      <c r="E9" s="9"/>
      <c r="F9" s="9"/>
      <c r="G9" s="9"/>
      <c r="H9" s="9"/>
      <c r="I9" s="9"/>
      <c r="J9" s="9"/>
      <c r="K9" s="9"/>
      <c r="L9" s="9"/>
      <c r="M9" s="9"/>
      <c r="N9" s="9"/>
      <c r="O9" s="9"/>
      <c r="P9" s="9"/>
      <c r="Q9" s="9"/>
      <c r="R9" s="9"/>
      <c r="S9" s="1404"/>
    </row>
    <row r="10" spans="1:23" s="1410" customFormat="1" ht="31" x14ac:dyDescent="0.3">
      <c r="A10" s="1406">
        <v>1</v>
      </c>
      <c r="B10" s="1407" t="s">
        <v>941</v>
      </c>
      <c r="C10" s="1406" t="s">
        <v>930</v>
      </c>
      <c r="D10" s="1406" t="s">
        <v>1696</v>
      </c>
      <c r="E10" s="1408">
        <v>41022</v>
      </c>
      <c r="F10" s="539"/>
      <c r="G10" s="1408">
        <f>E10</f>
        <v>41022</v>
      </c>
      <c r="H10" s="539"/>
      <c r="I10" s="1408" t="s">
        <v>1749</v>
      </c>
      <c r="J10" s="1408" t="s">
        <v>1749</v>
      </c>
      <c r="K10" s="539"/>
      <c r="L10" s="1408" t="s">
        <v>1749</v>
      </c>
      <c r="M10" s="1269">
        <v>0</v>
      </c>
      <c r="N10" s="1269">
        <v>0</v>
      </c>
      <c r="O10" s="539"/>
      <c r="P10" s="1409">
        <f>M10-N10</f>
        <v>0</v>
      </c>
      <c r="Q10" s="539"/>
      <c r="R10" s="539"/>
      <c r="S10" s="1269">
        <f>IF(SUM(O10:R10)=0,M10-N10,SUM(O10:R10))</f>
        <v>0</v>
      </c>
    </row>
    <row r="11" spans="1:23" s="1410" customFormat="1" ht="31" x14ac:dyDescent="0.3">
      <c r="A11" s="1411">
        <v>1.1000000000000001</v>
      </c>
      <c r="B11" s="1412" t="s">
        <v>944</v>
      </c>
      <c r="C11" s="1411" t="s">
        <v>938</v>
      </c>
      <c r="D11" s="1411" t="s">
        <v>1696</v>
      </c>
      <c r="E11" s="1413">
        <v>41022</v>
      </c>
      <c r="F11" s="539"/>
      <c r="G11" s="1413">
        <f t="shared" ref="G11:G74" si="0">E11</f>
        <v>41022</v>
      </c>
      <c r="H11" s="539"/>
      <c r="I11" s="1413">
        <v>40785</v>
      </c>
      <c r="J11" s="1413">
        <v>41387</v>
      </c>
      <c r="K11" s="539"/>
      <c r="L11" s="1413">
        <v>40813</v>
      </c>
      <c r="M11" s="540">
        <v>3.524</v>
      </c>
      <c r="N11" s="1269">
        <v>3.47</v>
      </c>
      <c r="O11" s="539"/>
      <c r="P11" s="1409">
        <f t="shared" ref="P11:P74" si="1">M11-N11</f>
        <v>5.3999999999999826E-2</v>
      </c>
      <c r="Q11" s="539"/>
      <c r="R11" s="539"/>
      <c r="S11" s="1414">
        <f>IF(SUM(O11:R11)=0,M11-N11,SUM(O11:R11))</f>
        <v>5.3999999999999826E-2</v>
      </c>
    </row>
    <row r="12" spans="1:23" s="1410" customFormat="1" ht="31" x14ac:dyDescent="0.3">
      <c r="A12" s="1411">
        <v>0</v>
      </c>
      <c r="B12" s="1412" t="s">
        <v>414</v>
      </c>
      <c r="C12" s="1411" t="s">
        <v>414</v>
      </c>
      <c r="D12" s="1411" t="s">
        <v>1696</v>
      </c>
      <c r="E12" s="1413">
        <v>41022</v>
      </c>
      <c r="F12" s="539"/>
      <c r="G12" s="1413">
        <f t="shared" si="0"/>
        <v>41022</v>
      </c>
      <c r="H12" s="539"/>
      <c r="I12" s="1413" t="s">
        <v>1749</v>
      </c>
      <c r="J12" s="1413" t="s">
        <v>1749</v>
      </c>
      <c r="K12" s="539"/>
      <c r="L12" s="1413" t="s">
        <v>1749</v>
      </c>
      <c r="M12" s="540">
        <v>0.20300000000000001</v>
      </c>
      <c r="N12" s="1269">
        <v>0</v>
      </c>
      <c r="O12" s="539"/>
      <c r="P12" s="1409">
        <f t="shared" si="1"/>
        <v>0.20300000000000001</v>
      </c>
      <c r="Q12" s="539"/>
      <c r="R12" s="539"/>
      <c r="S12" s="1414">
        <f t="shared" ref="S12:S75" si="2">IF(SUM(O12:R12)=0,M12-N12,SUM(O12:R12))</f>
        <v>0.20300000000000001</v>
      </c>
    </row>
    <row r="13" spans="1:23" s="1410" customFormat="1" ht="31" x14ac:dyDescent="0.3">
      <c r="A13" s="1411">
        <v>1.2</v>
      </c>
      <c r="B13" s="1412" t="s">
        <v>948</v>
      </c>
      <c r="C13" s="1411" t="s">
        <v>938</v>
      </c>
      <c r="D13" s="1411" t="s">
        <v>1696</v>
      </c>
      <c r="E13" s="1413">
        <v>41022</v>
      </c>
      <c r="F13" s="539"/>
      <c r="G13" s="1413">
        <f t="shared" si="0"/>
        <v>41022</v>
      </c>
      <c r="H13" s="539"/>
      <c r="I13" s="1413">
        <v>40785</v>
      </c>
      <c r="J13" s="1413">
        <v>41387</v>
      </c>
      <c r="K13" s="539"/>
      <c r="L13" s="1413">
        <v>40813</v>
      </c>
      <c r="M13" s="540">
        <v>6.0940000000000003</v>
      </c>
      <c r="N13" s="1269">
        <v>5.32</v>
      </c>
      <c r="O13" s="539"/>
      <c r="P13" s="1409">
        <f t="shared" si="1"/>
        <v>0.77400000000000002</v>
      </c>
      <c r="Q13" s="539"/>
      <c r="R13" s="539"/>
      <c r="S13" s="1414">
        <f t="shared" si="2"/>
        <v>0.77400000000000002</v>
      </c>
    </row>
    <row r="14" spans="1:23" s="1410" customFormat="1" ht="31" x14ac:dyDescent="0.3">
      <c r="A14" s="1411">
        <v>0</v>
      </c>
      <c r="B14" s="1412" t="s">
        <v>414</v>
      </c>
      <c r="C14" s="1411" t="s">
        <v>414</v>
      </c>
      <c r="D14" s="1411" t="s">
        <v>1696</v>
      </c>
      <c r="E14" s="1413">
        <v>41022</v>
      </c>
      <c r="F14" s="539"/>
      <c r="G14" s="1413">
        <f t="shared" si="0"/>
        <v>41022</v>
      </c>
      <c r="H14" s="539"/>
      <c r="I14" s="1413" t="s">
        <v>1749</v>
      </c>
      <c r="J14" s="1413" t="s">
        <v>1749</v>
      </c>
      <c r="K14" s="539"/>
      <c r="L14" s="1413" t="s">
        <v>1749</v>
      </c>
      <c r="M14" s="540">
        <v>0.35699999999999998</v>
      </c>
      <c r="N14" s="1269">
        <v>0</v>
      </c>
      <c r="O14" s="539"/>
      <c r="P14" s="1409">
        <f t="shared" si="1"/>
        <v>0.35699999999999998</v>
      </c>
      <c r="Q14" s="539"/>
      <c r="R14" s="539"/>
      <c r="S14" s="1414">
        <f t="shared" si="2"/>
        <v>0.35699999999999998</v>
      </c>
    </row>
    <row r="15" spans="1:23" s="1410" customFormat="1" ht="46.5" x14ac:dyDescent="0.3">
      <c r="A15" s="1406">
        <v>2</v>
      </c>
      <c r="B15" s="1407" t="s">
        <v>951</v>
      </c>
      <c r="C15" s="1406" t="s">
        <v>930</v>
      </c>
      <c r="D15" s="1406" t="s">
        <v>1699</v>
      </c>
      <c r="E15" s="1408">
        <v>41285</v>
      </c>
      <c r="F15" s="539"/>
      <c r="G15" s="1408">
        <f t="shared" si="0"/>
        <v>41285</v>
      </c>
      <c r="H15" s="539"/>
      <c r="I15" s="1408" t="s">
        <v>1749</v>
      </c>
      <c r="J15" s="1408" t="s">
        <v>1749</v>
      </c>
      <c r="K15" s="539"/>
      <c r="L15" s="1408" t="s">
        <v>1749</v>
      </c>
      <c r="M15" s="1269">
        <v>0</v>
      </c>
      <c r="N15" s="1269">
        <v>0</v>
      </c>
      <c r="O15" s="539"/>
      <c r="P15" s="1409">
        <f t="shared" si="1"/>
        <v>0</v>
      </c>
      <c r="Q15" s="539"/>
      <c r="R15" s="539"/>
      <c r="S15" s="1414">
        <f t="shared" si="2"/>
        <v>0</v>
      </c>
    </row>
    <row r="16" spans="1:23" s="1410" customFormat="1" ht="46.5" x14ac:dyDescent="0.3">
      <c r="A16" s="1411">
        <v>2.1</v>
      </c>
      <c r="B16" s="1412" t="s">
        <v>952</v>
      </c>
      <c r="C16" s="1411" t="s">
        <v>938</v>
      </c>
      <c r="D16" s="1411" t="s">
        <v>1699</v>
      </c>
      <c r="E16" s="1415">
        <v>41285</v>
      </c>
      <c r="F16" s="539"/>
      <c r="G16" s="1415">
        <f t="shared" si="0"/>
        <v>41285</v>
      </c>
      <c r="H16" s="539"/>
      <c r="I16" s="1415" t="s">
        <v>1749</v>
      </c>
      <c r="J16" s="1415">
        <v>42380</v>
      </c>
      <c r="K16" s="539"/>
      <c r="L16" s="1415" t="s">
        <v>1749</v>
      </c>
      <c r="M16" s="540">
        <v>0.28599999999999998</v>
      </c>
      <c r="N16" s="1269">
        <v>0</v>
      </c>
      <c r="O16" s="539"/>
      <c r="P16" s="1409">
        <f t="shared" si="1"/>
        <v>0.28599999999999998</v>
      </c>
      <c r="Q16" s="539"/>
      <c r="R16" s="539"/>
      <c r="S16" s="1414">
        <f t="shared" si="2"/>
        <v>0.28599999999999998</v>
      </c>
    </row>
    <row r="17" spans="1:19" s="1410" customFormat="1" ht="46.5" x14ac:dyDescent="0.3">
      <c r="A17" s="1411">
        <v>2.2000000000000002</v>
      </c>
      <c r="B17" s="1412" t="s">
        <v>954</v>
      </c>
      <c r="C17" s="1411" t="s">
        <v>938</v>
      </c>
      <c r="D17" s="1411" t="str">
        <f>D16</f>
        <v>MERC/TECH 1/CAPEX/20122013/02325</v>
      </c>
      <c r="E17" s="1415">
        <v>41285</v>
      </c>
      <c r="F17" s="539"/>
      <c r="G17" s="1415">
        <f t="shared" si="0"/>
        <v>41285</v>
      </c>
      <c r="H17" s="539"/>
      <c r="I17" s="1415" t="s">
        <v>1749</v>
      </c>
      <c r="J17" s="1415">
        <v>42380</v>
      </c>
      <c r="K17" s="539"/>
      <c r="L17" s="1415" t="s">
        <v>1749</v>
      </c>
      <c r="M17" s="540">
        <v>0.51900000000000002</v>
      </c>
      <c r="N17" s="1269">
        <v>0</v>
      </c>
      <c r="O17" s="539"/>
      <c r="P17" s="1409">
        <f t="shared" si="1"/>
        <v>0.51900000000000002</v>
      </c>
      <c r="Q17" s="539"/>
      <c r="R17" s="539"/>
      <c r="S17" s="1414">
        <f t="shared" si="2"/>
        <v>0.51900000000000002</v>
      </c>
    </row>
    <row r="18" spans="1:19" s="1410" customFormat="1" ht="46.5" x14ac:dyDescent="0.3">
      <c r="A18" s="1411">
        <v>2.2999999999999998</v>
      </c>
      <c r="B18" s="1412" t="s">
        <v>956</v>
      </c>
      <c r="C18" s="1411" t="s">
        <v>938</v>
      </c>
      <c r="D18" s="1411" t="str">
        <f t="shared" ref="D18:D23" si="3">D17</f>
        <v>MERC/TECH 1/CAPEX/20122013/02325</v>
      </c>
      <c r="E18" s="1415">
        <v>41285</v>
      </c>
      <c r="F18" s="539"/>
      <c r="G18" s="1415">
        <f t="shared" si="0"/>
        <v>41285</v>
      </c>
      <c r="H18" s="539"/>
      <c r="I18" s="1415" t="s">
        <v>1749</v>
      </c>
      <c r="J18" s="1415">
        <v>42380</v>
      </c>
      <c r="K18" s="539"/>
      <c r="L18" s="1415" t="s">
        <v>1749</v>
      </c>
      <c r="M18" s="540">
        <v>0.29299999999999998</v>
      </c>
      <c r="N18" s="1269">
        <v>0</v>
      </c>
      <c r="O18" s="539"/>
      <c r="P18" s="1409">
        <f t="shared" si="1"/>
        <v>0.29299999999999998</v>
      </c>
      <c r="Q18" s="539"/>
      <c r="R18" s="539"/>
      <c r="S18" s="1414">
        <f t="shared" si="2"/>
        <v>0.29299999999999998</v>
      </c>
    </row>
    <row r="19" spans="1:19" s="1410" customFormat="1" ht="46.5" x14ac:dyDescent="0.3">
      <c r="A19" s="1411">
        <v>2.4</v>
      </c>
      <c r="B19" s="1412" t="s">
        <v>957</v>
      </c>
      <c r="C19" s="1411" t="s">
        <v>938</v>
      </c>
      <c r="D19" s="1411" t="str">
        <f t="shared" si="3"/>
        <v>MERC/TECH 1/CAPEX/20122013/02325</v>
      </c>
      <c r="E19" s="1415">
        <v>41285</v>
      </c>
      <c r="F19" s="539"/>
      <c r="G19" s="1415">
        <f t="shared" si="0"/>
        <v>41285</v>
      </c>
      <c r="H19" s="539"/>
      <c r="I19" s="1415">
        <v>41554</v>
      </c>
      <c r="J19" s="1415">
        <v>42380</v>
      </c>
      <c r="K19" s="539"/>
      <c r="L19" s="1415" t="s">
        <v>1749</v>
      </c>
      <c r="M19" s="540">
        <v>0.20599999999999999</v>
      </c>
      <c r="N19" s="1269">
        <v>0.26354099999999997</v>
      </c>
      <c r="O19" s="539"/>
      <c r="P19" s="1409">
        <f t="shared" si="1"/>
        <v>-5.7540999999999981E-2</v>
      </c>
      <c r="Q19" s="539"/>
      <c r="R19" s="539"/>
      <c r="S19" s="1414">
        <f t="shared" si="2"/>
        <v>-5.7540999999999981E-2</v>
      </c>
    </row>
    <row r="20" spans="1:19" s="1410" customFormat="1" ht="46.5" x14ac:dyDescent="0.3">
      <c r="A20" s="1411">
        <v>2.5</v>
      </c>
      <c r="B20" s="1412" t="s">
        <v>959</v>
      </c>
      <c r="C20" s="1411" t="s">
        <v>938</v>
      </c>
      <c r="D20" s="1411" t="str">
        <f t="shared" si="3"/>
        <v>MERC/TECH 1/CAPEX/20122013/02325</v>
      </c>
      <c r="E20" s="1415">
        <v>41285</v>
      </c>
      <c r="F20" s="539"/>
      <c r="G20" s="1415">
        <f t="shared" si="0"/>
        <v>41285</v>
      </c>
      <c r="H20" s="539"/>
      <c r="I20" s="1415">
        <v>42586</v>
      </c>
      <c r="J20" s="1415">
        <v>42380</v>
      </c>
      <c r="K20" s="539"/>
      <c r="L20" s="1415">
        <v>42661</v>
      </c>
      <c r="M20" s="540">
        <v>8.3689999999999998</v>
      </c>
      <c r="N20" s="1269">
        <v>5.319992955</v>
      </c>
      <c r="O20" s="539"/>
      <c r="P20" s="1409">
        <f t="shared" si="1"/>
        <v>3.0490070449999997</v>
      </c>
      <c r="Q20" s="539"/>
      <c r="R20" s="539"/>
      <c r="S20" s="1414">
        <f t="shared" si="2"/>
        <v>3.0490070449999997</v>
      </c>
    </row>
    <row r="21" spans="1:19" s="1410" customFormat="1" ht="46.5" x14ac:dyDescent="0.3">
      <c r="A21" s="1411">
        <v>2.6</v>
      </c>
      <c r="B21" s="1412" t="s">
        <v>961</v>
      </c>
      <c r="C21" s="1411" t="s">
        <v>938</v>
      </c>
      <c r="D21" s="1411" t="str">
        <f t="shared" si="3"/>
        <v>MERC/TECH 1/CAPEX/20122013/02325</v>
      </c>
      <c r="E21" s="1415">
        <v>41285</v>
      </c>
      <c r="F21" s="539"/>
      <c r="G21" s="1415">
        <f t="shared" si="0"/>
        <v>41285</v>
      </c>
      <c r="H21" s="539"/>
      <c r="I21" s="1415">
        <v>42586</v>
      </c>
      <c r="J21" s="1415">
        <v>42380</v>
      </c>
      <c r="K21" s="539"/>
      <c r="L21" s="1415">
        <v>42656</v>
      </c>
      <c r="M21" s="540">
        <v>6.032</v>
      </c>
      <c r="N21" s="1269">
        <v>3.47281854</v>
      </c>
      <c r="O21" s="539"/>
      <c r="P21" s="1409">
        <f t="shared" si="1"/>
        <v>2.55918146</v>
      </c>
      <c r="Q21" s="539"/>
      <c r="R21" s="539"/>
      <c r="S21" s="1414">
        <f t="shared" si="2"/>
        <v>2.55918146</v>
      </c>
    </row>
    <row r="22" spans="1:19" s="1410" customFormat="1" ht="46.5" x14ac:dyDescent="0.3">
      <c r="A22" s="1411">
        <v>2.7</v>
      </c>
      <c r="B22" s="1412" t="s">
        <v>963</v>
      </c>
      <c r="C22" s="1411" t="s">
        <v>938</v>
      </c>
      <c r="D22" s="1411" t="str">
        <f t="shared" si="3"/>
        <v>MERC/TECH 1/CAPEX/20122013/02325</v>
      </c>
      <c r="E22" s="1415">
        <v>41285</v>
      </c>
      <c r="F22" s="539"/>
      <c r="G22" s="1415">
        <f t="shared" si="0"/>
        <v>41285</v>
      </c>
      <c r="H22" s="539"/>
      <c r="I22" s="1415">
        <v>42185</v>
      </c>
      <c r="J22" s="1415">
        <v>42380</v>
      </c>
      <c r="K22" s="539"/>
      <c r="L22" s="1415">
        <v>42338</v>
      </c>
      <c r="M22" s="540">
        <v>0.1488051</v>
      </c>
      <c r="N22" s="1269">
        <v>0.1488051</v>
      </c>
      <c r="O22" s="539"/>
      <c r="P22" s="1409">
        <f t="shared" si="1"/>
        <v>0</v>
      </c>
      <c r="Q22" s="539"/>
      <c r="R22" s="539"/>
      <c r="S22" s="1414">
        <f t="shared" si="2"/>
        <v>0</v>
      </c>
    </row>
    <row r="23" spans="1:19" s="1410" customFormat="1" ht="46.5" x14ac:dyDescent="0.3">
      <c r="A23" s="1416">
        <v>0</v>
      </c>
      <c r="B23" s="1412" t="s">
        <v>414</v>
      </c>
      <c r="C23" s="1416" t="s">
        <v>414</v>
      </c>
      <c r="D23" s="1411" t="str">
        <f t="shared" si="3"/>
        <v>MERC/TECH 1/CAPEX/20122013/02325</v>
      </c>
      <c r="E23" s="1415">
        <v>41285</v>
      </c>
      <c r="F23" s="539"/>
      <c r="G23" s="1415">
        <f t="shared" si="0"/>
        <v>41285</v>
      </c>
      <c r="H23" s="539"/>
      <c r="I23" s="1415" t="s">
        <v>1749</v>
      </c>
      <c r="J23" s="1415" t="s">
        <v>1749</v>
      </c>
      <c r="K23" s="539"/>
      <c r="L23" s="1415" t="s">
        <v>1749</v>
      </c>
      <c r="M23" s="1270">
        <v>0.93</v>
      </c>
      <c r="N23" s="1269">
        <v>0</v>
      </c>
      <c r="O23" s="539"/>
      <c r="P23" s="1409">
        <f t="shared" si="1"/>
        <v>0.93</v>
      </c>
      <c r="Q23" s="539"/>
      <c r="R23" s="539"/>
      <c r="S23" s="1414">
        <f t="shared" si="2"/>
        <v>0.93</v>
      </c>
    </row>
    <row r="24" spans="1:19" s="1410" customFormat="1" ht="31" x14ac:dyDescent="0.3">
      <c r="A24" s="1406">
        <v>3</v>
      </c>
      <c r="B24" s="1407" t="s">
        <v>965</v>
      </c>
      <c r="C24" s="1406" t="s">
        <v>930</v>
      </c>
      <c r="D24" s="1406" t="s">
        <v>1702</v>
      </c>
      <c r="E24" s="1408">
        <v>41114</v>
      </c>
      <c r="F24" s="539"/>
      <c r="G24" s="1408">
        <f t="shared" si="0"/>
        <v>41114</v>
      </c>
      <c r="H24" s="539"/>
      <c r="I24" s="1408" t="s">
        <v>1749</v>
      </c>
      <c r="J24" s="1408" t="s">
        <v>1749</v>
      </c>
      <c r="K24" s="539"/>
      <c r="L24" s="1408" t="s">
        <v>1749</v>
      </c>
      <c r="M24" s="1269">
        <v>0</v>
      </c>
      <c r="N24" s="1269">
        <v>0</v>
      </c>
      <c r="O24" s="539"/>
      <c r="P24" s="1409">
        <f t="shared" si="1"/>
        <v>0</v>
      </c>
      <c r="Q24" s="539"/>
      <c r="R24" s="539"/>
      <c r="S24" s="1414">
        <f t="shared" si="2"/>
        <v>0</v>
      </c>
    </row>
    <row r="25" spans="1:19" s="1410" customFormat="1" ht="31" x14ac:dyDescent="0.3">
      <c r="A25" s="1416">
        <v>3.1</v>
      </c>
      <c r="B25" s="1412" t="s">
        <v>966</v>
      </c>
      <c r="C25" s="1416" t="s">
        <v>938</v>
      </c>
      <c r="D25" s="1416" t="str">
        <f>D24</f>
        <v>MERC/CAPEX/20122013/00912</v>
      </c>
      <c r="E25" s="1417">
        <v>41114</v>
      </c>
      <c r="F25" s="539"/>
      <c r="G25" s="1417">
        <f t="shared" si="0"/>
        <v>41114</v>
      </c>
      <c r="H25" s="539"/>
      <c r="I25" s="1417" t="s">
        <v>1749</v>
      </c>
      <c r="J25" s="1417">
        <v>41844</v>
      </c>
      <c r="K25" s="539"/>
      <c r="L25" s="1417" t="s">
        <v>1749</v>
      </c>
      <c r="M25" s="540">
        <v>0.8044</v>
      </c>
      <c r="N25" s="1269">
        <v>0</v>
      </c>
      <c r="O25" s="539"/>
      <c r="P25" s="1409">
        <f t="shared" si="1"/>
        <v>0.8044</v>
      </c>
      <c r="Q25" s="539"/>
      <c r="R25" s="539"/>
      <c r="S25" s="1414">
        <f t="shared" si="2"/>
        <v>0.8044</v>
      </c>
    </row>
    <row r="26" spans="1:19" s="1410" customFormat="1" ht="31" x14ac:dyDescent="0.3">
      <c r="A26" s="1416">
        <v>3.2</v>
      </c>
      <c r="B26" s="1412" t="s">
        <v>967</v>
      </c>
      <c r="C26" s="1416" t="s">
        <v>938</v>
      </c>
      <c r="D26" s="1416" t="s">
        <v>1702</v>
      </c>
      <c r="E26" s="1417">
        <v>41114</v>
      </c>
      <c r="F26" s="539"/>
      <c r="G26" s="1417">
        <f t="shared" si="0"/>
        <v>41114</v>
      </c>
      <c r="H26" s="539"/>
      <c r="I26" s="1417" t="s">
        <v>1749</v>
      </c>
      <c r="J26" s="1417">
        <v>41844</v>
      </c>
      <c r="K26" s="539"/>
      <c r="L26" s="1417" t="s">
        <v>1749</v>
      </c>
      <c r="M26" s="540">
        <v>0.41149999999999998</v>
      </c>
      <c r="N26" s="1269">
        <v>0</v>
      </c>
      <c r="O26" s="539"/>
      <c r="P26" s="1409">
        <f t="shared" si="1"/>
        <v>0.41149999999999998</v>
      </c>
      <c r="Q26" s="539"/>
      <c r="R26" s="539"/>
      <c r="S26" s="1414">
        <f t="shared" si="2"/>
        <v>0.41149999999999998</v>
      </c>
    </row>
    <row r="27" spans="1:19" s="1410" customFormat="1" ht="31" x14ac:dyDescent="0.3">
      <c r="A27" s="1416">
        <v>3.3</v>
      </c>
      <c r="B27" s="1412" t="s">
        <v>968</v>
      </c>
      <c r="C27" s="1416" t="s">
        <v>938</v>
      </c>
      <c r="D27" s="1416" t="str">
        <f>D26</f>
        <v>MERC/CAPEX/20122013/00912</v>
      </c>
      <c r="E27" s="1417">
        <v>41114</v>
      </c>
      <c r="F27" s="539"/>
      <c r="G27" s="1417">
        <f t="shared" si="0"/>
        <v>41114</v>
      </c>
      <c r="H27" s="539"/>
      <c r="I27" s="1417" t="s">
        <v>1749</v>
      </c>
      <c r="J27" s="1417">
        <v>41844</v>
      </c>
      <c r="K27" s="539"/>
      <c r="L27" s="1417" t="s">
        <v>1749</v>
      </c>
      <c r="M27" s="540">
        <v>21.96</v>
      </c>
      <c r="N27" s="1269">
        <v>0</v>
      </c>
      <c r="O27" s="539"/>
      <c r="P27" s="1409">
        <f t="shared" si="1"/>
        <v>21.96</v>
      </c>
      <c r="Q27" s="539"/>
      <c r="R27" s="539"/>
      <c r="S27" s="1414">
        <f t="shared" si="2"/>
        <v>21.96</v>
      </c>
    </row>
    <row r="28" spans="1:19" s="1410" customFormat="1" ht="31" x14ac:dyDescent="0.3">
      <c r="A28" s="1416">
        <v>3.4</v>
      </c>
      <c r="B28" s="1412" t="s">
        <v>969</v>
      </c>
      <c r="C28" s="1416" t="s">
        <v>938</v>
      </c>
      <c r="D28" s="1416" t="str">
        <f t="shared" ref="D28:D32" si="4">D27</f>
        <v>MERC/CAPEX/20122013/00912</v>
      </c>
      <c r="E28" s="1417">
        <v>41114</v>
      </c>
      <c r="F28" s="539"/>
      <c r="G28" s="1417">
        <f t="shared" si="0"/>
        <v>41114</v>
      </c>
      <c r="H28" s="539"/>
      <c r="I28" s="1417" t="s">
        <v>1749</v>
      </c>
      <c r="J28" s="1417">
        <v>41844</v>
      </c>
      <c r="K28" s="539"/>
      <c r="L28" s="1417" t="s">
        <v>1749</v>
      </c>
      <c r="M28" s="540">
        <v>2.0714999999999999</v>
      </c>
      <c r="N28" s="1269">
        <v>0</v>
      </c>
      <c r="O28" s="539"/>
      <c r="P28" s="1409">
        <f t="shared" si="1"/>
        <v>2.0714999999999999</v>
      </c>
      <c r="Q28" s="539"/>
      <c r="R28" s="539"/>
      <c r="S28" s="1414">
        <f t="shared" si="2"/>
        <v>2.0714999999999999</v>
      </c>
    </row>
    <row r="29" spans="1:19" s="1410" customFormat="1" ht="77.5" x14ac:dyDescent="0.3">
      <c r="A29" s="1416">
        <v>3.5</v>
      </c>
      <c r="B29" s="1412" t="s">
        <v>970</v>
      </c>
      <c r="C29" s="1416" t="s">
        <v>938</v>
      </c>
      <c r="D29" s="1416" t="str">
        <f t="shared" si="4"/>
        <v>MERC/CAPEX/20122013/00912</v>
      </c>
      <c r="E29" s="1417">
        <v>41114</v>
      </c>
      <c r="F29" s="539"/>
      <c r="G29" s="1417">
        <f t="shared" si="0"/>
        <v>41114</v>
      </c>
      <c r="H29" s="539"/>
      <c r="I29" s="1417">
        <v>41676</v>
      </c>
      <c r="J29" s="1417">
        <v>41844</v>
      </c>
      <c r="K29" s="539"/>
      <c r="L29" s="1417">
        <v>43277</v>
      </c>
      <c r="M29" s="540">
        <v>2.2831000000000001</v>
      </c>
      <c r="N29" s="1269">
        <v>0.4695358</v>
      </c>
      <c r="O29" s="539"/>
      <c r="P29" s="1409">
        <f t="shared" si="1"/>
        <v>1.8135642000000001</v>
      </c>
      <c r="Q29" s="539"/>
      <c r="R29" s="539"/>
      <c r="S29" s="1414">
        <f t="shared" si="2"/>
        <v>1.8135642000000001</v>
      </c>
    </row>
    <row r="30" spans="1:19" s="1410" customFormat="1" ht="31" x14ac:dyDescent="0.3">
      <c r="A30" s="1416">
        <v>3.6</v>
      </c>
      <c r="B30" s="1412" t="s">
        <v>972</v>
      </c>
      <c r="C30" s="1416" t="s">
        <v>938</v>
      </c>
      <c r="D30" s="1416" t="str">
        <f t="shared" si="4"/>
        <v>MERC/CAPEX/20122013/00912</v>
      </c>
      <c r="E30" s="1417">
        <v>41114</v>
      </c>
      <c r="F30" s="539"/>
      <c r="G30" s="1417">
        <f t="shared" si="0"/>
        <v>41114</v>
      </c>
      <c r="H30" s="539"/>
      <c r="I30" s="1417" t="s">
        <v>1749</v>
      </c>
      <c r="J30" s="1417">
        <v>41844</v>
      </c>
      <c r="K30" s="539"/>
      <c r="L30" s="1417" t="s">
        <v>1749</v>
      </c>
      <c r="M30" s="540">
        <v>2.5038</v>
      </c>
      <c r="N30" s="1269">
        <v>0</v>
      </c>
      <c r="O30" s="539"/>
      <c r="P30" s="1409">
        <f t="shared" si="1"/>
        <v>2.5038</v>
      </c>
      <c r="Q30" s="539"/>
      <c r="R30" s="539"/>
      <c r="S30" s="1414">
        <f t="shared" si="2"/>
        <v>2.5038</v>
      </c>
    </row>
    <row r="31" spans="1:19" s="1410" customFormat="1" ht="31" x14ac:dyDescent="0.3">
      <c r="A31" s="1416">
        <v>3.7</v>
      </c>
      <c r="B31" s="1412" t="s">
        <v>973</v>
      </c>
      <c r="C31" s="1416" t="s">
        <v>938</v>
      </c>
      <c r="D31" s="1416" t="str">
        <f t="shared" si="4"/>
        <v>MERC/CAPEX/20122013/00912</v>
      </c>
      <c r="E31" s="1417">
        <v>41114</v>
      </c>
      <c r="F31" s="539"/>
      <c r="G31" s="1417">
        <f t="shared" si="0"/>
        <v>41114</v>
      </c>
      <c r="H31" s="539"/>
      <c r="I31" s="1417" t="s">
        <v>1749</v>
      </c>
      <c r="J31" s="1417">
        <v>41844</v>
      </c>
      <c r="K31" s="539"/>
      <c r="L31" s="1417" t="s">
        <v>1749</v>
      </c>
      <c r="M31" s="540">
        <v>9.7000000000000003E-2</v>
      </c>
      <c r="N31" s="1269">
        <v>0</v>
      </c>
      <c r="O31" s="539"/>
      <c r="P31" s="1409">
        <f t="shared" si="1"/>
        <v>9.7000000000000003E-2</v>
      </c>
      <c r="Q31" s="539"/>
      <c r="R31" s="539"/>
      <c r="S31" s="1414">
        <f t="shared" si="2"/>
        <v>9.7000000000000003E-2</v>
      </c>
    </row>
    <row r="32" spans="1:19" s="1410" customFormat="1" ht="31" x14ac:dyDescent="0.3">
      <c r="A32" s="1416">
        <v>3.8</v>
      </c>
      <c r="B32" s="1412" t="s">
        <v>974</v>
      </c>
      <c r="C32" s="1416" t="s">
        <v>938</v>
      </c>
      <c r="D32" s="1416" t="str">
        <f t="shared" si="4"/>
        <v>MERC/CAPEX/20122013/00912</v>
      </c>
      <c r="E32" s="1417">
        <v>41114</v>
      </c>
      <c r="F32" s="539"/>
      <c r="G32" s="1417">
        <f t="shared" si="0"/>
        <v>41114</v>
      </c>
      <c r="H32" s="539"/>
      <c r="I32" s="1417" t="s">
        <v>1749</v>
      </c>
      <c r="J32" s="1417">
        <v>41844</v>
      </c>
      <c r="K32" s="539"/>
      <c r="L32" s="1417" t="s">
        <v>1749</v>
      </c>
      <c r="M32" s="540">
        <v>7.6508000000000003</v>
      </c>
      <c r="N32" s="1269">
        <v>0</v>
      </c>
      <c r="O32" s="539"/>
      <c r="P32" s="1409">
        <f t="shared" si="1"/>
        <v>7.6508000000000003</v>
      </c>
      <c r="Q32" s="539"/>
      <c r="R32" s="539"/>
      <c r="S32" s="1414">
        <f t="shared" si="2"/>
        <v>7.6508000000000003</v>
      </c>
    </row>
    <row r="33" spans="1:19" s="1410" customFormat="1" ht="46.5" x14ac:dyDescent="0.3">
      <c r="A33" s="1416">
        <v>3.9</v>
      </c>
      <c r="B33" s="1412" t="s">
        <v>975</v>
      </c>
      <c r="C33" s="1416" t="s">
        <v>938</v>
      </c>
      <c r="D33" s="1416" t="s">
        <v>1702</v>
      </c>
      <c r="E33" s="1417">
        <v>41114</v>
      </c>
      <c r="F33" s="539"/>
      <c r="G33" s="1417">
        <f t="shared" si="0"/>
        <v>41114</v>
      </c>
      <c r="H33" s="539"/>
      <c r="I33" s="1417" t="s">
        <v>1749</v>
      </c>
      <c r="J33" s="1417">
        <v>41844</v>
      </c>
      <c r="K33" s="539"/>
      <c r="L33" s="1417" t="s">
        <v>1749</v>
      </c>
      <c r="M33" s="540">
        <v>0.29680000000000001</v>
      </c>
      <c r="N33" s="1269">
        <v>0</v>
      </c>
      <c r="O33" s="539"/>
      <c r="P33" s="1409">
        <f t="shared" si="1"/>
        <v>0.29680000000000001</v>
      </c>
      <c r="Q33" s="539"/>
      <c r="R33" s="539"/>
      <c r="S33" s="1414">
        <f t="shared" si="2"/>
        <v>0.29680000000000001</v>
      </c>
    </row>
    <row r="34" spans="1:19" s="1410" customFormat="1" ht="31" x14ac:dyDescent="0.3">
      <c r="A34" s="1418">
        <v>3.1</v>
      </c>
      <c r="B34" s="1412" t="s">
        <v>976</v>
      </c>
      <c r="C34" s="1416" t="s">
        <v>938</v>
      </c>
      <c r="D34" s="1416" t="str">
        <f>D33</f>
        <v>MERC/CAPEX/20122013/00912</v>
      </c>
      <c r="E34" s="1417">
        <v>41114</v>
      </c>
      <c r="F34" s="539"/>
      <c r="G34" s="1417">
        <f t="shared" si="0"/>
        <v>41114</v>
      </c>
      <c r="H34" s="539"/>
      <c r="I34" s="1417">
        <v>41114</v>
      </c>
      <c r="J34" s="1417">
        <v>41844</v>
      </c>
      <c r="K34" s="539"/>
      <c r="L34" s="1417">
        <v>41364</v>
      </c>
      <c r="M34" s="540">
        <v>0.9607</v>
      </c>
      <c r="N34" s="1269">
        <v>0.9607</v>
      </c>
      <c r="O34" s="539"/>
      <c r="P34" s="1409">
        <f t="shared" si="1"/>
        <v>0</v>
      </c>
      <c r="Q34" s="539"/>
      <c r="R34" s="539"/>
      <c r="S34" s="1414">
        <f t="shared" si="2"/>
        <v>0</v>
      </c>
    </row>
    <row r="35" spans="1:19" s="1410" customFormat="1" ht="31" x14ac:dyDescent="0.3">
      <c r="A35" s="1416">
        <v>3.11</v>
      </c>
      <c r="B35" s="1412" t="s">
        <v>978</v>
      </c>
      <c r="C35" s="1416" t="s">
        <v>938</v>
      </c>
      <c r="D35" s="1416" t="str">
        <f>D33</f>
        <v>MERC/CAPEX/20122013/00912</v>
      </c>
      <c r="E35" s="1417">
        <v>41114</v>
      </c>
      <c r="F35" s="539"/>
      <c r="G35" s="1417">
        <f t="shared" si="0"/>
        <v>41114</v>
      </c>
      <c r="H35" s="539"/>
      <c r="I35" s="1417" t="s">
        <v>1749</v>
      </c>
      <c r="J35" s="1417">
        <v>41844</v>
      </c>
      <c r="K35" s="539"/>
      <c r="L35" s="1417" t="s">
        <v>1749</v>
      </c>
      <c r="M35" s="540">
        <v>0.63617000000000001</v>
      </c>
      <c r="N35" s="1269">
        <v>0</v>
      </c>
      <c r="O35" s="539"/>
      <c r="P35" s="1409">
        <f t="shared" si="1"/>
        <v>0.63617000000000001</v>
      </c>
      <c r="Q35" s="539"/>
      <c r="R35" s="539"/>
      <c r="S35" s="1414">
        <f t="shared" si="2"/>
        <v>0.63617000000000001</v>
      </c>
    </row>
    <row r="36" spans="1:19" s="1410" customFormat="1" ht="31" x14ac:dyDescent="0.3">
      <c r="A36" s="1416">
        <v>3.12</v>
      </c>
      <c r="B36" s="1412" t="s">
        <v>979</v>
      </c>
      <c r="C36" s="1416" t="s">
        <v>938</v>
      </c>
      <c r="D36" s="1416" t="str">
        <f>D33</f>
        <v>MERC/CAPEX/20122013/00912</v>
      </c>
      <c r="E36" s="1417">
        <v>41114</v>
      </c>
      <c r="F36" s="539"/>
      <c r="G36" s="1417">
        <f t="shared" si="0"/>
        <v>41114</v>
      </c>
      <c r="H36" s="539"/>
      <c r="I36" s="1417">
        <v>41561</v>
      </c>
      <c r="J36" s="1417">
        <v>41844</v>
      </c>
      <c r="K36" s="539"/>
      <c r="L36" s="1417">
        <v>41736</v>
      </c>
      <c r="M36" s="540">
        <v>0.44012000000000001</v>
      </c>
      <c r="N36" s="1269">
        <v>0.19</v>
      </c>
      <c r="O36" s="539"/>
      <c r="P36" s="1409">
        <f t="shared" si="1"/>
        <v>0.25012000000000001</v>
      </c>
      <c r="Q36" s="539"/>
      <c r="R36" s="539"/>
      <c r="S36" s="1414">
        <f t="shared" si="2"/>
        <v>0.25012000000000001</v>
      </c>
    </row>
    <row r="37" spans="1:19" s="1410" customFormat="1" ht="31" x14ac:dyDescent="0.3">
      <c r="A37" s="1416">
        <v>3.13</v>
      </c>
      <c r="B37" s="1412" t="s">
        <v>981</v>
      </c>
      <c r="C37" s="1416" t="s">
        <v>938</v>
      </c>
      <c r="D37" s="1416" t="str">
        <f>D33</f>
        <v>MERC/CAPEX/20122013/00912</v>
      </c>
      <c r="E37" s="1417">
        <v>41114</v>
      </c>
      <c r="F37" s="539"/>
      <c r="G37" s="1417">
        <f t="shared" si="0"/>
        <v>41114</v>
      </c>
      <c r="H37" s="539"/>
      <c r="I37" s="1417" t="s">
        <v>1749</v>
      </c>
      <c r="J37" s="1417">
        <v>41844</v>
      </c>
      <c r="K37" s="539"/>
      <c r="L37" s="1417" t="s">
        <v>1749</v>
      </c>
      <c r="M37" s="540">
        <v>0.53213999999999995</v>
      </c>
      <c r="N37" s="1269">
        <v>0</v>
      </c>
      <c r="O37" s="539"/>
      <c r="P37" s="1409">
        <f t="shared" si="1"/>
        <v>0.53213999999999995</v>
      </c>
      <c r="Q37" s="539"/>
      <c r="R37" s="539"/>
      <c r="S37" s="1414">
        <f t="shared" si="2"/>
        <v>0.53213999999999995</v>
      </c>
    </row>
    <row r="38" spans="1:19" s="1410" customFormat="1" ht="31" x14ac:dyDescent="0.3">
      <c r="A38" s="1406">
        <v>0</v>
      </c>
      <c r="B38" s="1412" t="s">
        <v>414</v>
      </c>
      <c r="C38" s="1416" t="s">
        <v>414</v>
      </c>
      <c r="D38" s="1416" t="s">
        <v>1702</v>
      </c>
      <c r="E38" s="1417">
        <v>41114</v>
      </c>
      <c r="F38" s="539"/>
      <c r="G38" s="1417">
        <f t="shared" si="0"/>
        <v>41114</v>
      </c>
      <c r="H38" s="539"/>
      <c r="I38" s="1417" t="s">
        <v>1749</v>
      </c>
      <c r="J38" s="1417" t="s">
        <v>1749</v>
      </c>
      <c r="K38" s="539"/>
      <c r="L38" s="1417" t="s">
        <v>1749</v>
      </c>
      <c r="M38" s="540">
        <v>5.27</v>
      </c>
      <c r="N38" s="1269">
        <v>0</v>
      </c>
      <c r="O38" s="539"/>
      <c r="P38" s="1409">
        <f t="shared" si="1"/>
        <v>5.27</v>
      </c>
      <c r="Q38" s="539"/>
      <c r="R38" s="539"/>
      <c r="S38" s="1414">
        <f t="shared" si="2"/>
        <v>5.27</v>
      </c>
    </row>
    <row r="39" spans="1:19" s="1410" customFormat="1" ht="31" x14ac:dyDescent="0.3">
      <c r="A39" s="1406">
        <v>4</v>
      </c>
      <c r="B39" s="1407" t="s">
        <v>982</v>
      </c>
      <c r="C39" s="1406" t="s">
        <v>930</v>
      </c>
      <c r="D39" s="1406" t="str">
        <f>D38</f>
        <v>MERC/CAPEX/20122013/00912</v>
      </c>
      <c r="E39" s="1408">
        <v>41281</v>
      </c>
      <c r="F39" s="539"/>
      <c r="G39" s="1408">
        <f t="shared" si="0"/>
        <v>41281</v>
      </c>
      <c r="H39" s="539"/>
      <c r="I39" s="1408" t="s">
        <v>1749</v>
      </c>
      <c r="J39" s="1408" t="s">
        <v>1749</v>
      </c>
      <c r="K39" s="539"/>
      <c r="L39" s="1408" t="s">
        <v>1749</v>
      </c>
      <c r="M39" s="1269">
        <v>0</v>
      </c>
      <c r="N39" s="1269">
        <v>0</v>
      </c>
      <c r="O39" s="539"/>
      <c r="P39" s="1409">
        <f t="shared" si="1"/>
        <v>0</v>
      </c>
      <c r="Q39" s="539"/>
      <c r="R39" s="539"/>
      <c r="S39" s="1414">
        <f t="shared" si="2"/>
        <v>0</v>
      </c>
    </row>
    <row r="40" spans="1:19" s="1410" customFormat="1" ht="31" x14ac:dyDescent="0.3">
      <c r="A40" s="1416">
        <v>4.0999999999999996</v>
      </c>
      <c r="B40" s="1412" t="s">
        <v>984</v>
      </c>
      <c r="C40" s="1416" t="s">
        <v>938</v>
      </c>
      <c r="D40" s="1416" t="str">
        <f>D38</f>
        <v>MERC/CAPEX/20122013/00912</v>
      </c>
      <c r="E40" s="1417">
        <v>41281</v>
      </c>
      <c r="F40" s="539"/>
      <c r="G40" s="1417">
        <f t="shared" si="0"/>
        <v>41281</v>
      </c>
      <c r="H40" s="539"/>
      <c r="I40" s="1417">
        <v>42244</v>
      </c>
      <c r="J40" s="1417">
        <v>41646</v>
      </c>
      <c r="K40" s="539"/>
      <c r="L40" s="1417">
        <v>42444</v>
      </c>
      <c r="M40" s="540">
        <v>17.47</v>
      </c>
      <c r="N40" s="1269">
        <v>8.655683800000002</v>
      </c>
      <c r="O40" s="539"/>
      <c r="P40" s="1409">
        <f t="shared" si="1"/>
        <v>8.8143161999999968</v>
      </c>
      <c r="Q40" s="539"/>
      <c r="R40" s="539"/>
      <c r="S40" s="1414">
        <f t="shared" si="2"/>
        <v>8.8143161999999968</v>
      </c>
    </row>
    <row r="41" spans="1:19" s="1410" customFormat="1" ht="31" x14ac:dyDescent="0.3">
      <c r="A41" s="1416">
        <v>4.2</v>
      </c>
      <c r="B41" s="1412" t="s">
        <v>987</v>
      </c>
      <c r="C41" s="1416" t="s">
        <v>938</v>
      </c>
      <c r="D41" s="1416" t="str">
        <f>D38</f>
        <v>MERC/CAPEX/20122013/00912</v>
      </c>
      <c r="E41" s="1417">
        <v>41281</v>
      </c>
      <c r="F41" s="539"/>
      <c r="G41" s="1417">
        <f t="shared" si="0"/>
        <v>41281</v>
      </c>
      <c r="H41" s="539"/>
      <c r="I41" s="1417" t="s">
        <v>1749</v>
      </c>
      <c r="J41" s="1417">
        <v>41646</v>
      </c>
      <c r="K41" s="539"/>
      <c r="L41" s="1417" t="s">
        <v>1749</v>
      </c>
      <c r="M41" s="540">
        <v>1.0289999999999999</v>
      </c>
      <c r="N41" s="1269">
        <v>0.30159950000000002</v>
      </c>
      <c r="O41" s="539"/>
      <c r="P41" s="1409">
        <f t="shared" si="1"/>
        <v>0.72740049999999989</v>
      </c>
      <c r="Q41" s="539"/>
      <c r="R41" s="539"/>
      <c r="S41" s="1414">
        <f t="shared" si="2"/>
        <v>0.72740049999999989</v>
      </c>
    </row>
    <row r="42" spans="1:19" s="1410" customFormat="1" ht="31" x14ac:dyDescent="0.3">
      <c r="A42" s="1406">
        <v>0</v>
      </c>
      <c r="B42" s="1412" t="s">
        <v>414</v>
      </c>
      <c r="C42" s="1416" t="s">
        <v>414</v>
      </c>
      <c r="D42" s="1416" t="str">
        <f>D38</f>
        <v>MERC/CAPEX/20122013/00912</v>
      </c>
      <c r="E42" s="1417">
        <v>41281</v>
      </c>
      <c r="F42" s="539"/>
      <c r="G42" s="1417">
        <f t="shared" si="0"/>
        <v>41281</v>
      </c>
      <c r="H42" s="539"/>
      <c r="I42" s="1417" t="s">
        <v>1749</v>
      </c>
      <c r="J42" s="1417" t="s">
        <v>1749</v>
      </c>
      <c r="K42" s="539"/>
      <c r="L42" s="1417" t="s">
        <v>1749</v>
      </c>
      <c r="M42" s="540">
        <v>1.61</v>
      </c>
      <c r="N42" s="1269">
        <v>0</v>
      </c>
      <c r="O42" s="539"/>
      <c r="P42" s="1409">
        <f t="shared" si="1"/>
        <v>1.61</v>
      </c>
      <c r="Q42" s="539"/>
      <c r="R42" s="539"/>
      <c r="S42" s="1414">
        <f t="shared" si="2"/>
        <v>1.61</v>
      </c>
    </row>
    <row r="43" spans="1:19" s="1410" customFormat="1" ht="46.5" x14ac:dyDescent="0.3">
      <c r="A43" s="1406">
        <v>5</v>
      </c>
      <c r="B43" s="1407" t="s">
        <v>989</v>
      </c>
      <c r="C43" s="1406" t="s">
        <v>930</v>
      </c>
      <c r="D43" s="1406" t="s">
        <v>990</v>
      </c>
      <c r="E43" s="1408">
        <v>41928</v>
      </c>
      <c r="F43" s="539"/>
      <c r="G43" s="1408">
        <f t="shared" si="0"/>
        <v>41928</v>
      </c>
      <c r="H43" s="539"/>
      <c r="I43" s="1408" t="s">
        <v>1749</v>
      </c>
      <c r="J43" s="1408" t="s">
        <v>1749</v>
      </c>
      <c r="K43" s="539"/>
      <c r="L43" s="1408" t="s">
        <v>1749</v>
      </c>
      <c r="M43" s="1269">
        <v>0</v>
      </c>
      <c r="N43" s="1269">
        <v>0</v>
      </c>
      <c r="O43" s="539"/>
      <c r="P43" s="1409">
        <f t="shared" si="1"/>
        <v>0</v>
      </c>
      <c r="Q43" s="539"/>
      <c r="R43" s="539"/>
      <c r="S43" s="1414">
        <f t="shared" si="2"/>
        <v>0</v>
      </c>
    </row>
    <row r="44" spans="1:19" s="1410" customFormat="1" ht="46.5" x14ac:dyDescent="0.3">
      <c r="A44" s="1416">
        <v>5.0999999999999996</v>
      </c>
      <c r="B44" s="1419" t="s">
        <v>991</v>
      </c>
      <c r="C44" s="1416" t="s">
        <v>938</v>
      </c>
      <c r="D44" s="1416" t="str">
        <f>D43</f>
        <v>MERC/TECH-1/CAPEX/20142015/006</v>
      </c>
      <c r="E44" s="1417">
        <v>41928</v>
      </c>
      <c r="F44" s="539"/>
      <c r="G44" s="1417">
        <f t="shared" si="0"/>
        <v>41928</v>
      </c>
      <c r="H44" s="539"/>
      <c r="I44" s="1417">
        <v>41958</v>
      </c>
      <c r="J44" s="1417">
        <v>42293</v>
      </c>
      <c r="K44" s="539"/>
      <c r="L44" s="1417">
        <v>41958</v>
      </c>
      <c r="M44" s="540">
        <v>1.1040000000000001</v>
      </c>
      <c r="N44" s="1269">
        <v>0.54</v>
      </c>
      <c r="O44" s="539"/>
      <c r="P44" s="1409">
        <f t="shared" si="1"/>
        <v>0.56400000000000006</v>
      </c>
      <c r="Q44" s="539"/>
      <c r="R44" s="539"/>
      <c r="S44" s="1414">
        <f t="shared" si="2"/>
        <v>0.56400000000000006</v>
      </c>
    </row>
    <row r="45" spans="1:19" s="1410" customFormat="1" ht="46.5" x14ac:dyDescent="0.3">
      <c r="A45" s="1416">
        <v>5.2</v>
      </c>
      <c r="B45" s="1419" t="s">
        <v>993</v>
      </c>
      <c r="C45" s="1416" t="s">
        <v>938</v>
      </c>
      <c r="D45" s="1416" t="str">
        <f>D43</f>
        <v>MERC/TECH-1/CAPEX/20142015/006</v>
      </c>
      <c r="E45" s="1417">
        <v>41928</v>
      </c>
      <c r="F45" s="539"/>
      <c r="G45" s="1417">
        <f t="shared" si="0"/>
        <v>41928</v>
      </c>
      <c r="H45" s="539"/>
      <c r="I45" s="1417">
        <v>42227</v>
      </c>
      <c r="J45" s="1417">
        <v>42293</v>
      </c>
      <c r="K45" s="539"/>
      <c r="L45" s="1417">
        <v>42289</v>
      </c>
      <c r="M45" s="540">
        <v>5.4770000000000003</v>
      </c>
      <c r="N45" s="1269">
        <v>5.4649043000000006</v>
      </c>
      <c r="O45" s="539"/>
      <c r="P45" s="1409">
        <f t="shared" si="1"/>
        <v>1.2095699999999709E-2</v>
      </c>
      <c r="Q45" s="539"/>
      <c r="R45" s="539"/>
      <c r="S45" s="1414">
        <f t="shared" si="2"/>
        <v>1.2095699999999709E-2</v>
      </c>
    </row>
    <row r="46" spans="1:19" s="1410" customFormat="1" ht="46.5" x14ac:dyDescent="0.3">
      <c r="A46" s="1416">
        <v>5.3</v>
      </c>
      <c r="B46" s="1419" t="s">
        <v>994</v>
      </c>
      <c r="C46" s="1416" t="s">
        <v>938</v>
      </c>
      <c r="D46" s="1416" t="s">
        <v>990</v>
      </c>
      <c r="E46" s="1417">
        <v>41928</v>
      </c>
      <c r="F46" s="539"/>
      <c r="G46" s="1417">
        <f t="shared" si="0"/>
        <v>41928</v>
      </c>
      <c r="H46" s="539"/>
      <c r="I46" s="1417">
        <v>41929</v>
      </c>
      <c r="J46" s="1417">
        <v>42293</v>
      </c>
      <c r="K46" s="539"/>
      <c r="L46" s="1417" t="s">
        <v>1749</v>
      </c>
      <c r="M46" s="540">
        <v>2.7109999999999999</v>
      </c>
      <c r="N46" s="1269">
        <v>2.6624558</v>
      </c>
      <c r="O46" s="539"/>
      <c r="P46" s="1409">
        <f t="shared" si="1"/>
        <v>4.8544199999999815E-2</v>
      </c>
      <c r="Q46" s="539"/>
      <c r="R46" s="539"/>
      <c r="S46" s="1414">
        <f t="shared" si="2"/>
        <v>4.8544199999999815E-2</v>
      </c>
    </row>
    <row r="47" spans="1:19" s="1410" customFormat="1" ht="46.5" x14ac:dyDescent="0.3">
      <c r="A47" s="1416">
        <v>5.4</v>
      </c>
      <c r="B47" s="1419" t="s">
        <v>996</v>
      </c>
      <c r="C47" s="1416" t="s">
        <v>938</v>
      </c>
      <c r="D47" s="1416" t="str">
        <f>D46</f>
        <v>MERC/TECH-1/CAPEX/20142015/006</v>
      </c>
      <c r="E47" s="1417">
        <v>41928</v>
      </c>
      <c r="F47" s="539"/>
      <c r="G47" s="1417">
        <f t="shared" si="0"/>
        <v>41928</v>
      </c>
      <c r="H47" s="539"/>
      <c r="I47" s="1417">
        <v>41944</v>
      </c>
      <c r="J47" s="1417">
        <v>42293</v>
      </c>
      <c r="K47" s="539"/>
      <c r="L47" s="1417">
        <v>42051</v>
      </c>
      <c r="M47" s="540">
        <v>2.7109999999999999</v>
      </c>
      <c r="N47" s="1269">
        <v>2.3531</v>
      </c>
      <c r="O47" s="539"/>
      <c r="P47" s="1409">
        <f t="shared" si="1"/>
        <v>0.35789999999999988</v>
      </c>
      <c r="Q47" s="539"/>
      <c r="R47" s="539"/>
      <c r="S47" s="1414">
        <f t="shared" si="2"/>
        <v>0.35789999999999988</v>
      </c>
    </row>
    <row r="48" spans="1:19" s="1410" customFormat="1" ht="46.5" x14ac:dyDescent="0.3">
      <c r="A48" s="1406">
        <v>0</v>
      </c>
      <c r="B48" s="1419" t="s">
        <v>414</v>
      </c>
      <c r="C48" s="1416" t="s">
        <v>414</v>
      </c>
      <c r="D48" s="1416" t="str">
        <f>D47</f>
        <v>MERC/TECH-1/CAPEX/20142015/006</v>
      </c>
      <c r="E48" s="1417">
        <v>41928</v>
      </c>
      <c r="F48" s="539"/>
      <c r="G48" s="1417">
        <f t="shared" si="0"/>
        <v>41928</v>
      </c>
      <c r="H48" s="539"/>
      <c r="I48" s="1417" t="s">
        <v>1749</v>
      </c>
      <c r="J48" s="1417" t="s">
        <v>1749</v>
      </c>
      <c r="K48" s="539"/>
      <c r="L48" s="1417" t="s">
        <v>1749</v>
      </c>
      <c r="M48" s="540">
        <v>1.6890000000000001</v>
      </c>
      <c r="N48" s="1269">
        <v>0</v>
      </c>
      <c r="O48" s="539"/>
      <c r="P48" s="1409">
        <f t="shared" si="1"/>
        <v>1.6890000000000001</v>
      </c>
      <c r="Q48" s="539"/>
      <c r="R48" s="539"/>
      <c r="S48" s="1414">
        <f t="shared" si="2"/>
        <v>1.6890000000000001</v>
      </c>
    </row>
    <row r="49" spans="1:19" s="1410" customFormat="1" ht="31" x14ac:dyDescent="0.3">
      <c r="A49" s="1406">
        <v>6</v>
      </c>
      <c r="B49" s="1407" t="s">
        <v>998</v>
      </c>
      <c r="C49" s="1406" t="s">
        <v>930</v>
      </c>
      <c r="D49" s="1406" t="s">
        <v>999</v>
      </c>
      <c r="E49" s="1408">
        <v>41792</v>
      </c>
      <c r="F49" s="539"/>
      <c r="G49" s="1408">
        <f t="shared" si="0"/>
        <v>41792</v>
      </c>
      <c r="H49" s="539"/>
      <c r="I49" s="1408" t="s">
        <v>1749</v>
      </c>
      <c r="J49" s="1408" t="s">
        <v>1749</v>
      </c>
      <c r="K49" s="539"/>
      <c r="L49" s="1408" t="s">
        <v>1749</v>
      </c>
      <c r="M49" s="1269">
        <v>0</v>
      </c>
      <c r="N49" s="1269">
        <v>0</v>
      </c>
      <c r="O49" s="539"/>
      <c r="P49" s="1409">
        <f t="shared" si="1"/>
        <v>0</v>
      </c>
      <c r="Q49" s="539"/>
      <c r="R49" s="539"/>
      <c r="S49" s="1414">
        <f t="shared" si="2"/>
        <v>0</v>
      </c>
    </row>
    <row r="50" spans="1:19" s="1410" customFormat="1" ht="31" x14ac:dyDescent="0.3">
      <c r="A50" s="1411">
        <v>6.1</v>
      </c>
      <c r="B50" s="1419" t="s">
        <v>1000</v>
      </c>
      <c r="C50" s="1411" t="s">
        <v>938</v>
      </c>
      <c r="D50" s="1411" t="str">
        <f>D49</f>
        <v>MERC/Tech-1/CAPEX /2014-15/00433</v>
      </c>
      <c r="E50" s="1415">
        <v>41792</v>
      </c>
      <c r="F50" s="539"/>
      <c r="G50" s="1415">
        <f t="shared" si="0"/>
        <v>41792</v>
      </c>
      <c r="H50" s="539"/>
      <c r="I50" s="1415">
        <v>41793</v>
      </c>
      <c r="J50" s="1415">
        <v>42888</v>
      </c>
      <c r="K50" s="539"/>
      <c r="L50" s="1415">
        <v>42297</v>
      </c>
      <c r="M50" s="540">
        <v>2.62</v>
      </c>
      <c r="N50" s="1269">
        <v>1.3984000000000001</v>
      </c>
      <c r="O50" s="539"/>
      <c r="P50" s="1409">
        <f t="shared" si="1"/>
        <v>1.2216</v>
      </c>
      <c r="Q50" s="539"/>
      <c r="R50" s="539"/>
      <c r="S50" s="1414">
        <f t="shared" si="2"/>
        <v>1.2216</v>
      </c>
    </row>
    <row r="51" spans="1:19" s="1410" customFormat="1" ht="31" x14ac:dyDescent="0.3">
      <c r="A51" s="1411">
        <v>6.2</v>
      </c>
      <c r="B51" s="1419" t="s">
        <v>1003</v>
      </c>
      <c r="C51" s="1411" t="s">
        <v>938</v>
      </c>
      <c r="D51" s="1411" t="str">
        <f t="shared" ref="D51:D52" si="5">D50</f>
        <v>MERC/Tech-1/CAPEX /2014-15/00433</v>
      </c>
      <c r="E51" s="1415">
        <v>41792</v>
      </c>
      <c r="F51" s="539"/>
      <c r="G51" s="1415">
        <f t="shared" si="0"/>
        <v>41792</v>
      </c>
      <c r="H51" s="539"/>
      <c r="I51" s="1415">
        <v>41793</v>
      </c>
      <c r="J51" s="1415">
        <v>42888</v>
      </c>
      <c r="K51" s="539"/>
      <c r="L51" s="1415">
        <v>42247</v>
      </c>
      <c r="M51" s="540">
        <v>13.404999999999999</v>
      </c>
      <c r="N51" s="1269">
        <v>1.2086276</v>
      </c>
      <c r="O51" s="539"/>
      <c r="P51" s="1409">
        <f t="shared" si="1"/>
        <v>12.1963724</v>
      </c>
      <c r="Q51" s="539"/>
      <c r="R51" s="539"/>
      <c r="S51" s="1414">
        <f t="shared" si="2"/>
        <v>12.1963724</v>
      </c>
    </row>
    <row r="52" spans="1:19" s="1410" customFormat="1" ht="31" x14ac:dyDescent="0.3">
      <c r="A52" s="1411">
        <v>0</v>
      </c>
      <c r="B52" s="1419" t="s">
        <v>414</v>
      </c>
      <c r="C52" s="1411" t="s">
        <v>414</v>
      </c>
      <c r="D52" s="1411" t="str">
        <f t="shared" si="5"/>
        <v>MERC/Tech-1/CAPEX /2014-15/00433</v>
      </c>
      <c r="E52" s="1415">
        <v>41792</v>
      </c>
      <c r="F52" s="539"/>
      <c r="G52" s="1415">
        <f t="shared" si="0"/>
        <v>41792</v>
      </c>
      <c r="H52" s="539"/>
      <c r="I52" s="1415" t="s">
        <v>1749</v>
      </c>
      <c r="J52" s="1415" t="s">
        <v>1749</v>
      </c>
      <c r="K52" s="539"/>
      <c r="L52" s="1415" t="s">
        <v>1749</v>
      </c>
      <c r="M52" s="540">
        <v>1.345</v>
      </c>
      <c r="N52" s="1269">
        <v>0</v>
      </c>
      <c r="O52" s="539"/>
      <c r="P52" s="1409">
        <f t="shared" si="1"/>
        <v>1.345</v>
      </c>
      <c r="Q52" s="539"/>
      <c r="R52" s="539"/>
      <c r="S52" s="1414">
        <f t="shared" si="2"/>
        <v>1.345</v>
      </c>
    </row>
    <row r="53" spans="1:19" s="1410" customFormat="1" ht="31" x14ac:dyDescent="0.3">
      <c r="A53" s="1406">
        <v>8</v>
      </c>
      <c r="B53" s="1407" t="s">
        <v>1006</v>
      </c>
      <c r="C53" s="1406" t="s">
        <v>930</v>
      </c>
      <c r="D53" s="1406" t="s">
        <v>1007</v>
      </c>
      <c r="E53" s="1408">
        <v>42768</v>
      </c>
      <c r="F53" s="539"/>
      <c r="G53" s="1408">
        <f t="shared" si="0"/>
        <v>42768</v>
      </c>
      <c r="H53" s="539"/>
      <c r="I53" s="1408" t="s">
        <v>1749</v>
      </c>
      <c r="J53" s="1408" t="s">
        <v>1749</v>
      </c>
      <c r="K53" s="539"/>
      <c r="L53" s="1408" t="s">
        <v>1749</v>
      </c>
      <c r="M53" s="1269">
        <v>0</v>
      </c>
      <c r="N53" s="1269">
        <v>0</v>
      </c>
      <c r="O53" s="539"/>
      <c r="P53" s="1409">
        <f t="shared" si="1"/>
        <v>0</v>
      </c>
      <c r="Q53" s="539"/>
      <c r="R53" s="539"/>
      <c r="S53" s="1414">
        <f t="shared" si="2"/>
        <v>0</v>
      </c>
    </row>
    <row r="54" spans="1:19" s="1410" customFormat="1" ht="62" x14ac:dyDescent="0.3">
      <c r="A54" s="1411">
        <v>8.1</v>
      </c>
      <c r="B54" s="1419" t="s">
        <v>1008</v>
      </c>
      <c r="C54" s="1411" t="s">
        <v>938</v>
      </c>
      <c r="D54" s="1411" t="str">
        <f>D53</f>
        <v>MERC/CAPEX/20162017/01426</v>
      </c>
      <c r="E54" s="1415">
        <v>42768</v>
      </c>
      <c r="F54" s="539"/>
      <c r="G54" s="1415">
        <f t="shared" si="0"/>
        <v>42768</v>
      </c>
      <c r="H54" s="539"/>
      <c r="I54" s="1415">
        <v>43262</v>
      </c>
      <c r="J54" s="1415">
        <v>43133</v>
      </c>
      <c r="K54" s="539"/>
      <c r="L54" s="1415" t="s">
        <v>1009</v>
      </c>
      <c r="M54" s="540">
        <v>1.0395867768595042</v>
      </c>
      <c r="N54" s="1269">
        <v>1.0134768000000001</v>
      </c>
      <c r="O54" s="539"/>
      <c r="P54" s="1409">
        <f t="shared" si="1"/>
        <v>2.6109976859504114E-2</v>
      </c>
      <c r="Q54" s="539"/>
      <c r="R54" s="539"/>
      <c r="S54" s="1414">
        <f t="shared" si="2"/>
        <v>2.6109976859504114E-2</v>
      </c>
    </row>
    <row r="55" spans="1:19" s="1410" customFormat="1" ht="31" x14ac:dyDescent="0.3">
      <c r="A55" s="1411">
        <v>8.1999999999999993</v>
      </c>
      <c r="B55" s="1419" t="s">
        <v>1012</v>
      </c>
      <c r="C55" s="1411" t="s">
        <v>938</v>
      </c>
      <c r="D55" s="1411" t="str">
        <f t="shared" ref="D55:D59" si="6">D54</f>
        <v>MERC/CAPEX/20162017/01426</v>
      </c>
      <c r="E55" s="1415">
        <v>42768</v>
      </c>
      <c r="F55" s="539"/>
      <c r="G55" s="1415">
        <f t="shared" si="0"/>
        <v>42768</v>
      </c>
      <c r="H55" s="539"/>
      <c r="I55" s="1415">
        <v>42903</v>
      </c>
      <c r="J55" s="1415">
        <v>43133</v>
      </c>
      <c r="K55" s="539"/>
      <c r="L55" s="1415">
        <v>42991</v>
      </c>
      <c r="M55" s="540">
        <v>0.5380165289256198</v>
      </c>
      <c r="N55" s="1269">
        <v>0.72968922148760329</v>
      </c>
      <c r="O55" s="539"/>
      <c r="P55" s="1409">
        <f t="shared" si="1"/>
        <v>-0.19167269256198349</v>
      </c>
      <c r="Q55" s="539"/>
      <c r="R55" s="539"/>
      <c r="S55" s="1414">
        <f t="shared" si="2"/>
        <v>-0.19167269256198349</v>
      </c>
    </row>
    <row r="56" spans="1:19" s="1410" customFormat="1" ht="31" x14ac:dyDescent="0.3">
      <c r="A56" s="1411">
        <v>8.3000000000000007</v>
      </c>
      <c r="B56" s="1419" t="s">
        <v>1015</v>
      </c>
      <c r="C56" s="1411" t="s">
        <v>938</v>
      </c>
      <c r="D56" s="1411" t="str">
        <f t="shared" si="6"/>
        <v>MERC/CAPEX/20162017/01426</v>
      </c>
      <c r="E56" s="1415">
        <v>42768</v>
      </c>
      <c r="F56" s="539"/>
      <c r="G56" s="1415">
        <f t="shared" si="0"/>
        <v>42768</v>
      </c>
      <c r="H56" s="539"/>
      <c r="I56" s="1415">
        <v>43121</v>
      </c>
      <c r="J56" s="1415">
        <v>43498</v>
      </c>
      <c r="K56" s="539"/>
      <c r="L56" s="1415">
        <v>43132</v>
      </c>
      <c r="M56" s="540">
        <v>9.0247933884297526E-2</v>
      </c>
      <c r="N56" s="1269">
        <v>7.9869421487603301E-2</v>
      </c>
      <c r="O56" s="539"/>
      <c r="P56" s="1409">
        <f t="shared" si="1"/>
        <v>1.0378512396694226E-2</v>
      </c>
      <c r="Q56" s="539"/>
      <c r="R56" s="539"/>
      <c r="S56" s="1414">
        <f t="shared" si="2"/>
        <v>1.0378512396694226E-2</v>
      </c>
    </row>
    <row r="57" spans="1:19" s="1410" customFormat="1" ht="31" x14ac:dyDescent="0.3">
      <c r="A57" s="1411">
        <v>8.4</v>
      </c>
      <c r="B57" s="1419" t="s">
        <v>1018</v>
      </c>
      <c r="C57" s="1411" t="s">
        <v>938</v>
      </c>
      <c r="D57" s="1411" t="str">
        <f t="shared" si="6"/>
        <v>MERC/CAPEX/20162017/01426</v>
      </c>
      <c r="E57" s="1415">
        <v>42768</v>
      </c>
      <c r="F57" s="539"/>
      <c r="G57" s="1415">
        <f t="shared" si="0"/>
        <v>42768</v>
      </c>
      <c r="H57" s="539"/>
      <c r="I57" s="1415" t="s">
        <v>1749</v>
      </c>
      <c r="J57" s="1415" t="s">
        <v>1749</v>
      </c>
      <c r="K57" s="539"/>
      <c r="L57" s="1415" t="s">
        <v>1749</v>
      </c>
      <c r="M57" s="540">
        <v>0.16661157024793388</v>
      </c>
      <c r="N57" s="1269">
        <v>0</v>
      </c>
      <c r="O57" s="539"/>
      <c r="P57" s="1409">
        <f t="shared" si="1"/>
        <v>0.16661157024793388</v>
      </c>
      <c r="Q57" s="539"/>
      <c r="R57" s="539"/>
      <c r="S57" s="1414">
        <f t="shared" si="2"/>
        <v>0.16661157024793388</v>
      </c>
    </row>
    <row r="58" spans="1:19" s="1410" customFormat="1" ht="31" x14ac:dyDescent="0.3">
      <c r="A58" s="1411">
        <v>8.5</v>
      </c>
      <c r="B58" s="1419" t="s">
        <v>1019</v>
      </c>
      <c r="C58" s="1411" t="s">
        <v>938</v>
      </c>
      <c r="D58" s="1411" t="str">
        <f t="shared" si="6"/>
        <v>MERC/CAPEX/20162017/01426</v>
      </c>
      <c r="E58" s="1415">
        <v>42768</v>
      </c>
      <c r="F58" s="539"/>
      <c r="G58" s="1415">
        <f t="shared" si="0"/>
        <v>42768</v>
      </c>
      <c r="H58" s="539"/>
      <c r="I58" s="1415" t="s">
        <v>1749</v>
      </c>
      <c r="J58" s="1415" t="s">
        <v>1749</v>
      </c>
      <c r="K58" s="539"/>
      <c r="L58" s="1415" t="s">
        <v>1749</v>
      </c>
      <c r="M58" s="540">
        <v>0.11280991735537189</v>
      </c>
      <c r="N58" s="1269">
        <v>0</v>
      </c>
      <c r="O58" s="539"/>
      <c r="P58" s="1409">
        <f t="shared" si="1"/>
        <v>0.11280991735537189</v>
      </c>
      <c r="Q58" s="539"/>
      <c r="R58" s="539"/>
      <c r="S58" s="1414">
        <f t="shared" si="2"/>
        <v>0.11280991735537189</v>
      </c>
    </row>
    <row r="59" spans="1:19" s="1410" customFormat="1" ht="31" x14ac:dyDescent="0.3">
      <c r="A59" s="1411">
        <v>8.6</v>
      </c>
      <c r="B59" s="1419" t="s">
        <v>1020</v>
      </c>
      <c r="C59" s="1411" t="s">
        <v>938</v>
      </c>
      <c r="D59" s="1411" t="str">
        <f t="shared" si="6"/>
        <v>MERC/CAPEX/20162017/01426</v>
      </c>
      <c r="E59" s="1415">
        <v>42768</v>
      </c>
      <c r="F59" s="539"/>
      <c r="G59" s="1415">
        <f t="shared" si="0"/>
        <v>42768</v>
      </c>
      <c r="H59" s="539"/>
      <c r="I59" s="1415" t="s">
        <v>1749</v>
      </c>
      <c r="J59" s="1415" t="s">
        <v>1749</v>
      </c>
      <c r="K59" s="539"/>
      <c r="L59" s="1415" t="s">
        <v>1749</v>
      </c>
      <c r="M59" s="540">
        <v>7.1157024793388424E-2</v>
      </c>
      <c r="N59" s="1269">
        <v>0</v>
      </c>
      <c r="O59" s="539"/>
      <c r="P59" s="1409">
        <f t="shared" si="1"/>
        <v>7.1157024793388424E-2</v>
      </c>
      <c r="Q59" s="539"/>
      <c r="R59" s="539"/>
      <c r="S59" s="1414">
        <f t="shared" si="2"/>
        <v>7.1157024793388424E-2</v>
      </c>
    </row>
    <row r="60" spans="1:19" s="1410" customFormat="1" ht="31" x14ac:dyDescent="0.3">
      <c r="A60" s="1411">
        <v>0</v>
      </c>
      <c r="B60" s="1419" t="s">
        <v>414</v>
      </c>
      <c r="C60" s="1411" t="s">
        <v>414</v>
      </c>
      <c r="D60" s="1411" t="s">
        <v>1007</v>
      </c>
      <c r="E60" s="1415">
        <v>42768</v>
      </c>
      <c r="F60" s="539"/>
      <c r="G60" s="1415">
        <f t="shared" si="0"/>
        <v>42768</v>
      </c>
      <c r="H60" s="539"/>
      <c r="I60" s="1415" t="s">
        <v>1749</v>
      </c>
      <c r="J60" s="1415" t="s">
        <v>1749</v>
      </c>
      <c r="K60" s="539"/>
      <c r="L60" s="1415" t="s">
        <v>1749</v>
      </c>
      <c r="M60" s="540">
        <v>7.4628099173553716E-2</v>
      </c>
      <c r="N60" s="1269">
        <v>0</v>
      </c>
      <c r="O60" s="539"/>
      <c r="P60" s="1409">
        <f t="shared" si="1"/>
        <v>7.4628099173553716E-2</v>
      </c>
      <c r="Q60" s="539"/>
      <c r="R60" s="539"/>
      <c r="S60" s="1414">
        <f t="shared" si="2"/>
        <v>7.4628099173553716E-2</v>
      </c>
    </row>
    <row r="61" spans="1:19" s="1410" customFormat="1" ht="31" x14ac:dyDescent="0.3">
      <c r="A61" s="1406">
        <v>14</v>
      </c>
      <c r="B61" s="1407" t="s">
        <v>1021</v>
      </c>
      <c r="C61" s="1406" t="s">
        <v>930</v>
      </c>
      <c r="D61" s="1406" t="str">
        <f>D60</f>
        <v>MERC/CAPEX/20162017/01426</v>
      </c>
      <c r="E61" s="1408">
        <v>43760</v>
      </c>
      <c r="F61" s="539"/>
      <c r="G61" s="1408">
        <f t="shared" si="0"/>
        <v>43760</v>
      </c>
      <c r="H61" s="539"/>
      <c r="I61" s="1408" t="s">
        <v>1749</v>
      </c>
      <c r="J61" s="1408" t="s">
        <v>1749</v>
      </c>
      <c r="K61" s="539"/>
      <c r="L61" s="1408" t="s">
        <v>1749</v>
      </c>
      <c r="M61" s="1269">
        <v>0</v>
      </c>
      <c r="N61" s="1269">
        <v>0</v>
      </c>
      <c r="O61" s="539"/>
      <c r="P61" s="1409">
        <f t="shared" si="1"/>
        <v>0</v>
      </c>
      <c r="Q61" s="539"/>
      <c r="R61" s="539"/>
      <c r="S61" s="1414">
        <f t="shared" si="2"/>
        <v>0</v>
      </c>
    </row>
    <row r="62" spans="1:19" s="1410" customFormat="1" ht="31" x14ac:dyDescent="0.3">
      <c r="A62" s="1411">
        <v>14.1</v>
      </c>
      <c r="B62" s="1419" t="s">
        <v>1023</v>
      </c>
      <c r="C62" s="1411" t="s">
        <v>938</v>
      </c>
      <c r="D62" s="1411" t="s">
        <v>1022</v>
      </c>
      <c r="E62" s="1415">
        <v>43760</v>
      </c>
      <c r="F62" s="539"/>
      <c r="G62" s="1415">
        <f t="shared" si="0"/>
        <v>43760</v>
      </c>
      <c r="H62" s="539"/>
      <c r="I62" s="1415">
        <v>43655</v>
      </c>
      <c r="J62" s="1415">
        <v>44126</v>
      </c>
      <c r="K62" s="539"/>
      <c r="L62" s="1415" t="s">
        <v>1749</v>
      </c>
      <c r="M62" s="1271">
        <v>5.54</v>
      </c>
      <c r="N62" s="1269">
        <v>0</v>
      </c>
      <c r="O62" s="539"/>
      <c r="P62" s="1409">
        <f t="shared" si="1"/>
        <v>5.54</v>
      </c>
      <c r="Q62" s="539"/>
      <c r="R62" s="539"/>
      <c r="S62" s="1414">
        <f t="shared" si="2"/>
        <v>5.54</v>
      </c>
    </row>
    <row r="63" spans="1:19" s="1410" customFormat="1" ht="31" x14ac:dyDescent="0.3">
      <c r="A63" s="1411">
        <v>14.2</v>
      </c>
      <c r="B63" s="1419" t="s">
        <v>1024</v>
      </c>
      <c r="C63" s="1411" t="s">
        <v>938</v>
      </c>
      <c r="D63" s="1411" t="str">
        <f>D62</f>
        <v>MERC/CAPEX/2019-2020/915</v>
      </c>
      <c r="E63" s="1415">
        <v>43760</v>
      </c>
      <c r="F63" s="539"/>
      <c r="G63" s="1415">
        <f t="shared" si="0"/>
        <v>43760</v>
      </c>
      <c r="H63" s="539"/>
      <c r="I63" s="1415">
        <v>44452</v>
      </c>
      <c r="J63" s="1415">
        <v>44126</v>
      </c>
      <c r="K63" s="539"/>
      <c r="L63" s="1415">
        <v>44466</v>
      </c>
      <c r="M63" s="1271">
        <v>1.71861</v>
      </c>
      <c r="N63" s="1269">
        <v>1.71861</v>
      </c>
      <c r="O63" s="539"/>
      <c r="P63" s="1409">
        <f t="shared" si="1"/>
        <v>0</v>
      </c>
      <c r="Q63" s="539"/>
      <c r="R63" s="539"/>
      <c r="S63" s="1414">
        <f t="shared" si="2"/>
        <v>0</v>
      </c>
    </row>
    <row r="64" spans="1:19" s="1410" customFormat="1" ht="31" x14ac:dyDescent="0.3">
      <c r="A64" s="1411">
        <v>14.3</v>
      </c>
      <c r="B64" s="1419" t="s">
        <v>1025</v>
      </c>
      <c r="C64" s="1411" t="s">
        <v>938</v>
      </c>
      <c r="D64" s="1411" t="s">
        <v>1022</v>
      </c>
      <c r="E64" s="1415">
        <v>43760</v>
      </c>
      <c r="F64" s="539"/>
      <c r="G64" s="1415">
        <f t="shared" si="0"/>
        <v>43760</v>
      </c>
      <c r="H64" s="539"/>
      <c r="I64" s="1415">
        <v>43887</v>
      </c>
      <c r="J64" s="1415">
        <v>44126</v>
      </c>
      <c r="K64" s="539"/>
      <c r="L64" s="1415">
        <v>44762</v>
      </c>
      <c r="M64" s="1271">
        <v>6.47</v>
      </c>
      <c r="N64" s="1269">
        <v>6.1082700000000001</v>
      </c>
      <c r="O64" s="539"/>
      <c r="P64" s="1409">
        <f t="shared" si="1"/>
        <v>0.36172999999999966</v>
      </c>
      <c r="Q64" s="539"/>
      <c r="R64" s="539"/>
      <c r="S64" s="1414">
        <f t="shared" si="2"/>
        <v>0.36172999999999966</v>
      </c>
    </row>
    <row r="65" spans="1:28" s="1410" customFormat="1" ht="31" x14ac:dyDescent="0.3">
      <c r="A65" s="1411">
        <v>0</v>
      </c>
      <c r="B65" s="1419" t="s">
        <v>414</v>
      </c>
      <c r="C65" s="1411" t="s">
        <v>414</v>
      </c>
      <c r="D65" s="1411" t="str">
        <f>D64</f>
        <v>MERC/CAPEX/2019-2020/915</v>
      </c>
      <c r="E65" s="1415">
        <v>43760</v>
      </c>
      <c r="F65" s="539"/>
      <c r="G65" s="1415">
        <f t="shared" si="0"/>
        <v>43760</v>
      </c>
      <c r="H65" s="539"/>
      <c r="I65" s="1415" t="s">
        <v>1749</v>
      </c>
      <c r="J65" s="1415" t="s">
        <v>1749</v>
      </c>
      <c r="K65" s="539"/>
      <c r="L65" s="1415" t="s">
        <v>1749</v>
      </c>
      <c r="M65" s="1271">
        <v>0</v>
      </c>
      <c r="N65" s="1269">
        <v>0</v>
      </c>
      <c r="O65" s="539"/>
      <c r="P65" s="1409">
        <f t="shared" si="1"/>
        <v>0</v>
      </c>
      <c r="Q65" s="539"/>
      <c r="R65" s="539"/>
      <c r="S65" s="1414">
        <f t="shared" si="2"/>
        <v>0</v>
      </c>
    </row>
    <row r="66" spans="1:28" s="1410" customFormat="1" ht="31" x14ac:dyDescent="0.3">
      <c r="A66" s="1406" t="s">
        <v>1027</v>
      </c>
      <c r="B66" s="1407" t="s">
        <v>1028</v>
      </c>
      <c r="C66" s="1420" t="s">
        <v>930</v>
      </c>
      <c r="D66" s="1420" t="str">
        <f t="shared" ref="D66:D67" si="7">D65</f>
        <v>MERC/CAPEX/2019-2020/915</v>
      </c>
      <c r="E66" s="1421">
        <v>41968</v>
      </c>
      <c r="F66" s="539"/>
      <c r="G66" s="1421">
        <f t="shared" si="0"/>
        <v>41968</v>
      </c>
      <c r="H66" s="539"/>
      <c r="I66" s="1421" t="s">
        <v>1749</v>
      </c>
      <c r="J66" s="1421" t="s">
        <v>1749</v>
      </c>
      <c r="K66" s="539"/>
      <c r="L66" s="1421" t="s">
        <v>1749</v>
      </c>
      <c r="M66" s="1269">
        <v>0</v>
      </c>
      <c r="N66" s="1269">
        <v>0</v>
      </c>
      <c r="O66" s="539"/>
      <c r="P66" s="1409">
        <f t="shared" si="1"/>
        <v>0</v>
      </c>
      <c r="Q66" s="539"/>
      <c r="R66" s="539"/>
      <c r="S66" s="1414">
        <f t="shared" si="2"/>
        <v>0</v>
      </c>
    </row>
    <row r="67" spans="1:28" s="1410" customFormat="1" ht="31" x14ac:dyDescent="0.35">
      <c r="A67" s="1416" t="s">
        <v>1711</v>
      </c>
      <c r="B67" s="1422" t="s">
        <v>1030</v>
      </c>
      <c r="C67" s="1416" t="s">
        <v>938</v>
      </c>
      <c r="D67" s="1416" t="str">
        <f t="shared" si="7"/>
        <v>MERC/CAPEX/2019-2020/915</v>
      </c>
      <c r="E67" s="1417">
        <v>41968</v>
      </c>
      <c r="F67" s="539"/>
      <c r="G67" s="1417">
        <f t="shared" si="0"/>
        <v>41968</v>
      </c>
      <c r="H67" s="539"/>
      <c r="I67" s="1417">
        <v>42576</v>
      </c>
      <c r="J67" s="1417">
        <v>42699</v>
      </c>
      <c r="K67" s="539"/>
      <c r="L67" s="1417">
        <v>43451</v>
      </c>
      <c r="M67" s="1270">
        <v>1.91</v>
      </c>
      <c r="N67" s="1269">
        <v>0.69702600000000003</v>
      </c>
      <c r="O67" s="539"/>
      <c r="P67" s="1409">
        <f t="shared" si="1"/>
        <v>1.212974</v>
      </c>
      <c r="Q67" s="539"/>
      <c r="R67" s="539"/>
      <c r="S67" s="1414">
        <f t="shared" si="2"/>
        <v>1.212974</v>
      </c>
    </row>
    <row r="68" spans="1:28" s="1410" customFormat="1" ht="31" x14ac:dyDescent="0.3">
      <c r="A68" s="1406" t="s">
        <v>1033</v>
      </c>
      <c r="B68" s="1407" t="s">
        <v>1034</v>
      </c>
      <c r="C68" s="1420" t="s">
        <v>930</v>
      </c>
      <c r="D68" s="1420" t="s">
        <v>1035</v>
      </c>
      <c r="E68" s="1421">
        <v>42585</v>
      </c>
      <c r="F68" s="539"/>
      <c r="G68" s="1421">
        <f t="shared" si="0"/>
        <v>42585</v>
      </c>
      <c r="H68" s="539"/>
      <c r="I68" s="1421" t="s">
        <v>1749</v>
      </c>
      <c r="J68" s="1421" t="s">
        <v>1749</v>
      </c>
      <c r="K68" s="539"/>
      <c r="L68" s="1421" t="s">
        <v>1749</v>
      </c>
      <c r="M68" s="1269">
        <v>0</v>
      </c>
      <c r="N68" s="1269">
        <v>0</v>
      </c>
      <c r="O68" s="539"/>
      <c r="P68" s="1409">
        <f t="shared" si="1"/>
        <v>0</v>
      </c>
      <c r="Q68" s="539"/>
      <c r="R68" s="539"/>
      <c r="S68" s="1414">
        <f t="shared" si="2"/>
        <v>0</v>
      </c>
    </row>
    <row r="69" spans="1:28" s="1410" customFormat="1" ht="31" x14ac:dyDescent="0.35">
      <c r="A69" s="1416" t="s">
        <v>1712</v>
      </c>
      <c r="B69" s="1422" t="s">
        <v>1036</v>
      </c>
      <c r="C69" s="1416" t="s">
        <v>938</v>
      </c>
      <c r="D69" s="1416" t="str">
        <f>D68</f>
        <v>MERC/CAPEX/20162017/00423</v>
      </c>
      <c r="E69" s="1423">
        <v>42585</v>
      </c>
      <c r="F69" s="539"/>
      <c r="G69" s="1423">
        <f t="shared" si="0"/>
        <v>42585</v>
      </c>
      <c r="H69" s="539"/>
      <c r="I69" s="1423">
        <v>43496</v>
      </c>
      <c r="J69" s="1423">
        <v>43315</v>
      </c>
      <c r="K69" s="539"/>
      <c r="L69" s="1423">
        <v>43621</v>
      </c>
      <c r="M69" s="1270">
        <v>1.3257526714285714</v>
      </c>
      <c r="N69" s="1269">
        <v>0.9383999666666667</v>
      </c>
      <c r="O69" s="539"/>
      <c r="P69" s="1409">
        <f t="shared" si="1"/>
        <v>0.38735270476190475</v>
      </c>
      <c r="Q69" s="539"/>
      <c r="R69" s="539"/>
      <c r="S69" s="1414">
        <f t="shared" si="2"/>
        <v>0.38735270476190475</v>
      </c>
    </row>
    <row r="70" spans="1:28" s="1410" customFormat="1" ht="31" x14ac:dyDescent="0.3">
      <c r="A70" s="1406" t="s">
        <v>1039</v>
      </c>
      <c r="B70" s="1407" t="s">
        <v>1040</v>
      </c>
      <c r="C70" s="1420" t="s">
        <v>930</v>
      </c>
      <c r="D70" s="1420" t="str">
        <f t="shared" ref="D70:D77" si="8">D69</f>
        <v>MERC/CAPEX/20162017/00423</v>
      </c>
      <c r="E70" s="1421">
        <v>42643</v>
      </c>
      <c r="F70" s="539"/>
      <c r="G70" s="1421">
        <f t="shared" si="0"/>
        <v>42643</v>
      </c>
      <c r="H70" s="539"/>
      <c r="I70" s="1421" t="s">
        <v>1749</v>
      </c>
      <c r="J70" s="1421" t="s">
        <v>1749</v>
      </c>
      <c r="K70" s="539"/>
      <c r="L70" s="1421" t="s">
        <v>1749</v>
      </c>
      <c r="M70" s="1269">
        <v>0</v>
      </c>
      <c r="N70" s="1269">
        <v>0</v>
      </c>
      <c r="O70" s="539"/>
      <c r="P70" s="1409">
        <f t="shared" si="1"/>
        <v>0</v>
      </c>
      <c r="Q70" s="539"/>
      <c r="R70" s="539"/>
      <c r="S70" s="1414">
        <f t="shared" si="2"/>
        <v>0</v>
      </c>
    </row>
    <row r="71" spans="1:28" s="1410" customFormat="1" ht="31" x14ac:dyDescent="0.35">
      <c r="A71" s="1416" t="s">
        <v>1713</v>
      </c>
      <c r="B71" s="1422" t="s">
        <v>1042</v>
      </c>
      <c r="C71" s="1416" t="s">
        <v>938</v>
      </c>
      <c r="D71" s="1416" t="str">
        <f t="shared" si="8"/>
        <v>MERC/CAPEX/20162017/00423</v>
      </c>
      <c r="E71" s="1423">
        <v>42643</v>
      </c>
      <c r="F71" s="539"/>
      <c r="G71" s="1423">
        <f t="shared" si="0"/>
        <v>42643</v>
      </c>
      <c r="H71" s="539"/>
      <c r="I71" s="1423" t="s">
        <v>1749</v>
      </c>
      <c r="J71" s="1423" t="s">
        <v>1749</v>
      </c>
      <c r="K71" s="539"/>
      <c r="L71" s="1423" t="s">
        <v>1749</v>
      </c>
      <c r="M71" s="1270">
        <v>0</v>
      </c>
      <c r="N71" s="1269">
        <v>0</v>
      </c>
      <c r="O71" s="539"/>
      <c r="P71" s="1409">
        <f t="shared" si="1"/>
        <v>0</v>
      </c>
      <c r="Q71" s="539"/>
      <c r="R71" s="539"/>
      <c r="S71" s="1414">
        <f t="shared" si="2"/>
        <v>0</v>
      </c>
    </row>
    <row r="72" spans="1:28" ht="31" x14ac:dyDescent="0.3">
      <c r="A72" s="1424" t="s">
        <v>1714</v>
      </c>
      <c r="B72" s="1425" t="s">
        <v>1715</v>
      </c>
      <c r="C72" s="1426" t="s">
        <v>930</v>
      </c>
      <c r="D72" s="1427" t="str">
        <f t="shared" si="8"/>
        <v>MERC/CAPEX/20162017/00423</v>
      </c>
      <c r="E72" s="1428">
        <v>44604</v>
      </c>
      <c r="F72" s="529"/>
      <c r="G72" s="1428">
        <f t="shared" si="0"/>
        <v>44604</v>
      </c>
      <c r="H72" s="529"/>
      <c r="I72" s="1428" t="s">
        <v>1749</v>
      </c>
      <c r="J72" s="1428" t="s">
        <v>1749</v>
      </c>
      <c r="K72" s="529"/>
      <c r="L72" s="1428" t="s">
        <v>1749</v>
      </c>
      <c r="M72" s="1272">
        <v>0</v>
      </c>
      <c r="N72" s="1269">
        <v>0</v>
      </c>
      <c r="O72" s="529"/>
      <c r="P72" s="673">
        <f t="shared" si="1"/>
        <v>0</v>
      </c>
      <c r="Q72" s="529"/>
      <c r="R72" s="529"/>
      <c r="S72" s="1429">
        <f t="shared" si="2"/>
        <v>0</v>
      </c>
    </row>
    <row r="73" spans="1:28" ht="46.5" x14ac:dyDescent="0.3">
      <c r="A73" s="1430" t="s">
        <v>1717</v>
      </c>
      <c r="B73" s="1431" t="s">
        <v>1715</v>
      </c>
      <c r="C73" s="1427" t="s">
        <v>938</v>
      </c>
      <c r="D73" s="1427" t="str">
        <f t="shared" si="8"/>
        <v>MERC/CAPEX/20162017/00423</v>
      </c>
      <c r="E73" s="1432">
        <v>44604</v>
      </c>
      <c r="F73" s="529"/>
      <c r="G73" s="1432">
        <f t="shared" si="0"/>
        <v>44604</v>
      </c>
      <c r="H73" s="529"/>
      <c r="I73" s="1432" t="s">
        <v>1749</v>
      </c>
      <c r="J73" s="1432" t="s">
        <v>1749</v>
      </c>
      <c r="K73" s="529"/>
      <c r="L73" s="1432" t="s">
        <v>1749</v>
      </c>
      <c r="M73" s="1273">
        <v>54.24</v>
      </c>
      <c r="N73" s="1269">
        <v>0</v>
      </c>
      <c r="O73" s="529"/>
      <c r="P73" s="673">
        <f t="shared" si="1"/>
        <v>54.24</v>
      </c>
      <c r="Q73" s="529"/>
      <c r="R73" s="529"/>
      <c r="S73" s="1429">
        <f t="shared" si="2"/>
        <v>54.24</v>
      </c>
    </row>
    <row r="74" spans="1:28" ht="31" x14ac:dyDescent="0.3">
      <c r="A74" s="1433">
        <v>0</v>
      </c>
      <c r="B74" s="1431" t="s">
        <v>414</v>
      </c>
      <c r="C74" s="1427" t="s">
        <v>414</v>
      </c>
      <c r="D74" s="1427" t="str">
        <f t="shared" si="8"/>
        <v>MERC/CAPEX/20162017/00423</v>
      </c>
      <c r="E74" s="1432">
        <v>44604</v>
      </c>
      <c r="F74" s="529"/>
      <c r="G74" s="1432">
        <f t="shared" si="0"/>
        <v>44604</v>
      </c>
      <c r="H74" s="529"/>
      <c r="I74" s="1432" t="s">
        <v>1749</v>
      </c>
      <c r="J74" s="1432" t="s">
        <v>1749</v>
      </c>
      <c r="K74" s="529"/>
      <c r="L74" s="1432" t="s">
        <v>1749</v>
      </c>
      <c r="M74" s="1273">
        <v>2.76</v>
      </c>
      <c r="N74" s="1269">
        <v>0</v>
      </c>
      <c r="O74" s="529"/>
      <c r="P74" s="673">
        <f t="shared" si="1"/>
        <v>2.76</v>
      </c>
      <c r="Q74" s="529"/>
      <c r="R74" s="529"/>
      <c r="S74" s="1429">
        <f t="shared" si="2"/>
        <v>2.76</v>
      </c>
      <c r="T74" s="1434"/>
      <c r="U74" s="1392"/>
      <c r="V74" s="1392"/>
      <c r="W74" s="1392"/>
      <c r="X74" s="1392"/>
      <c r="Y74" s="808"/>
      <c r="Z74" s="808"/>
      <c r="AA74" s="808"/>
      <c r="AB74" s="808"/>
    </row>
    <row r="75" spans="1:28" ht="31" x14ac:dyDescent="0.3">
      <c r="A75" s="1424" t="s">
        <v>1718</v>
      </c>
      <c r="B75" s="1425" t="s">
        <v>1719</v>
      </c>
      <c r="C75" s="1426" t="s">
        <v>930</v>
      </c>
      <c r="D75" s="1426" t="str">
        <f t="shared" si="8"/>
        <v>MERC/CAPEX/20162017/00423</v>
      </c>
      <c r="E75" s="1428">
        <v>45232</v>
      </c>
      <c r="F75" s="529"/>
      <c r="G75" s="1428">
        <f t="shared" ref="G75:G77" si="9">E75</f>
        <v>45232</v>
      </c>
      <c r="H75" s="529"/>
      <c r="I75" s="1428" t="s">
        <v>1749</v>
      </c>
      <c r="J75" s="1428" t="s">
        <v>1749</v>
      </c>
      <c r="K75" s="529"/>
      <c r="L75" s="1428" t="s">
        <v>1749</v>
      </c>
      <c r="M75" s="1272">
        <v>0</v>
      </c>
      <c r="N75" s="1269">
        <v>0</v>
      </c>
      <c r="O75" s="529"/>
      <c r="P75" s="673">
        <f t="shared" ref="P75:P77" si="10">M75-N75</f>
        <v>0</v>
      </c>
      <c r="Q75" s="529"/>
      <c r="R75" s="529"/>
      <c r="S75" s="1429">
        <f t="shared" si="2"/>
        <v>0</v>
      </c>
    </row>
    <row r="76" spans="1:28" ht="46.5" x14ac:dyDescent="0.3">
      <c r="A76" s="1430" t="s">
        <v>1721</v>
      </c>
      <c r="B76" s="1431" t="s">
        <v>1719</v>
      </c>
      <c r="C76" s="1427" t="s">
        <v>938</v>
      </c>
      <c r="D76" s="1427" t="str">
        <f t="shared" si="8"/>
        <v>MERC/CAPEX/20162017/00423</v>
      </c>
      <c r="E76" s="1432">
        <v>45232</v>
      </c>
      <c r="F76" s="529"/>
      <c r="G76" s="1432">
        <f t="shared" si="9"/>
        <v>45232</v>
      </c>
      <c r="H76" s="529"/>
      <c r="I76" s="1432" t="s">
        <v>1749</v>
      </c>
      <c r="J76" s="1432" t="s">
        <v>1749</v>
      </c>
      <c r="K76" s="529"/>
      <c r="L76" s="1432" t="s">
        <v>1749</v>
      </c>
      <c r="M76" s="1273">
        <v>66.009</v>
      </c>
      <c r="N76" s="1269">
        <v>0</v>
      </c>
      <c r="O76" s="529"/>
      <c r="P76" s="673">
        <f t="shared" si="10"/>
        <v>66.009</v>
      </c>
      <c r="Q76" s="529"/>
      <c r="R76" s="529"/>
      <c r="S76" s="1429">
        <f t="shared" ref="S76:S77" si="11">IF(SUM(O76:R76)=0,M76-N76,SUM(O76:R76))</f>
        <v>66.009</v>
      </c>
    </row>
    <row r="77" spans="1:28" ht="31" x14ac:dyDescent="0.3">
      <c r="A77" s="1433">
        <v>0</v>
      </c>
      <c r="B77" s="1431" t="s">
        <v>414</v>
      </c>
      <c r="C77" s="1427" t="s">
        <v>414</v>
      </c>
      <c r="D77" s="1427" t="str">
        <f t="shared" si="8"/>
        <v>MERC/CAPEX/20162017/00423</v>
      </c>
      <c r="E77" s="1432">
        <v>45232</v>
      </c>
      <c r="F77" s="529"/>
      <c r="G77" s="1432">
        <f t="shared" si="9"/>
        <v>45232</v>
      </c>
      <c r="H77" s="529"/>
      <c r="I77" s="1432" t="s">
        <v>1749</v>
      </c>
      <c r="J77" s="1432" t="s">
        <v>1749</v>
      </c>
      <c r="K77" s="529"/>
      <c r="L77" s="1432" t="s">
        <v>1749</v>
      </c>
      <c r="M77" s="1273">
        <v>3.3</v>
      </c>
      <c r="N77" s="1269">
        <v>0</v>
      </c>
      <c r="O77" s="529"/>
      <c r="P77" s="673">
        <f t="shared" si="10"/>
        <v>3.3</v>
      </c>
      <c r="Q77" s="529"/>
      <c r="R77" s="529"/>
      <c r="S77" s="1429">
        <f t="shared" si="11"/>
        <v>3.3</v>
      </c>
    </row>
  </sheetData>
  <mergeCells count="18">
    <mergeCell ref="N5:N6"/>
    <mergeCell ref="O5:S5"/>
    <mergeCell ref="G4:I4"/>
    <mergeCell ref="J4:L4"/>
    <mergeCell ref="M4:S4"/>
    <mergeCell ref="G5:G6"/>
    <mergeCell ref="H5:H6"/>
    <mergeCell ref="I5:I6"/>
    <mergeCell ref="J5:J6"/>
    <mergeCell ref="K5:K6"/>
    <mergeCell ref="L5:L6"/>
    <mergeCell ref="M5:M6"/>
    <mergeCell ref="F4:F6"/>
    <mergeCell ref="A4:A6"/>
    <mergeCell ref="B4:B6"/>
    <mergeCell ref="C4:C6"/>
    <mergeCell ref="D4:D6"/>
    <mergeCell ref="E4:E6"/>
  </mergeCells>
  <conditionalFormatting sqref="D40:D42">
    <cfRule type="containsText" dxfId="611" priority="16" operator="containsText" text="DPR not submitted">
      <formula>NOT(ISERROR(SEARCH("DPR not submitted",D40)))</formula>
    </cfRule>
    <cfRule type="containsText" dxfId="610" priority="17" operator="containsText" text="Yet to be approved">
      <formula>NOT(ISERROR(SEARCH("Yet to be approved",D40)))</formula>
    </cfRule>
  </conditionalFormatting>
  <conditionalFormatting sqref="D39">
    <cfRule type="containsText" dxfId="609" priority="34" operator="containsText" text="DPR not submitted">
      <formula>NOT(ISERROR(SEARCH("DPR not submitted",D39)))</formula>
    </cfRule>
    <cfRule type="containsText" dxfId="608" priority="35" operator="containsText" text="Yet to be approved">
      <formula>NOT(ISERROR(SEARCH("Yet to be approved",D39)))</formula>
    </cfRule>
  </conditionalFormatting>
  <conditionalFormatting sqref="D44:D48">
    <cfRule type="containsText" dxfId="607" priority="14" operator="containsText" text="DPR not submitted">
      <formula>NOT(ISERROR(SEARCH("DPR not submitted",D44)))</formula>
    </cfRule>
    <cfRule type="containsText" dxfId="606" priority="15" operator="containsText" text="Yet to be approved">
      <formula>NOT(ISERROR(SEARCH("Yet to be approved",D44)))</formula>
    </cfRule>
  </conditionalFormatting>
  <conditionalFormatting sqref="D67 D16:D23 D25:D38 D50:D65">
    <cfRule type="containsText" dxfId="605" priority="45" operator="containsText" text="DPR not submitted">
      <formula>NOT(ISERROR(SEARCH("DPR not submitted",D16)))</formula>
    </cfRule>
    <cfRule type="containsText" dxfId="604" priority="46" operator="containsText" text="Yet to be approved">
      <formula>NOT(ISERROR(SEARCH("Yet to be approved",D16)))</formula>
    </cfRule>
  </conditionalFormatting>
  <conditionalFormatting sqref="D61">
    <cfRule type="containsText" dxfId="603" priority="44" operator="containsText" text="DPR not approved">
      <formula>NOT(ISERROR(SEARCH("DPR not approved",D61)))</formula>
    </cfRule>
  </conditionalFormatting>
  <conditionalFormatting sqref="D61">
    <cfRule type="containsText" dxfId="602" priority="42" operator="containsText" text="DPR returmed back for non compliance of queries">
      <formula>NOT(ISERROR(SEARCH("DPR returmed back for non compliance of queries",D61)))</formula>
    </cfRule>
    <cfRule type="containsText" dxfId="601" priority="43" operator="containsText" text="DPR not approved">
      <formula>NOT(ISERROR(SEARCH("DPR not approved",D61)))</formula>
    </cfRule>
  </conditionalFormatting>
  <conditionalFormatting sqref="D10">
    <cfRule type="containsText" dxfId="600" priority="40" operator="containsText" text="DPR not submitted">
      <formula>NOT(ISERROR(SEARCH("DPR not submitted",D10)))</formula>
    </cfRule>
    <cfRule type="containsText" dxfId="599" priority="41" operator="containsText" text="Yet to be approved">
      <formula>NOT(ISERROR(SEARCH("Yet to be approved",D10)))</formula>
    </cfRule>
  </conditionalFormatting>
  <conditionalFormatting sqref="D68">
    <cfRule type="containsText" dxfId="598" priority="21" operator="containsText" text="DPR not submitted">
      <formula>NOT(ISERROR(SEARCH("DPR not submitted",D68)))</formula>
    </cfRule>
    <cfRule type="containsText" dxfId="597" priority="22" operator="containsText" text="Yet to be approved">
      <formula>NOT(ISERROR(SEARCH("Yet to be approved",D68)))</formula>
    </cfRule>
  </conditionalFormatting>
  <conditionalFormatting sqref="D15">
    <cfRule type="containsText" dxfId="596" priority="38" operator="containsText" text="DPR not submitted">
      <formula>NOT(ISERROR(SEARCH("DPR not submitted",D15)))</formula>
    </cfRule>
    <cfRule type="containsText" dxfId="595" priority="39" operator="containsText" text="Yet to be approved">
      <formula>NOT(ISERROR(SEARCH("Yet to be approved",D15)))</formula>
    </cfRule>
  </conditionalFormatting>
  <conditionalFormatting sqref="D24">
    <cfRule type="containsText" dxfId="594" priority="36" operator="containsText" text="DPR not submitted">
      <formula>NOT(ISERROR(SEARCH("DPR not submitted",D24)))</formula>
    </cfRule>
    <cfRule type="containsText" dxfId="593" priority="37" operator="containsText" text="Yet to be approved">
      <formula>NOT(ISERROR(SEARCH("Yet to be approved",D24)))</formula>
    </cfRule>
  </conditionalFormatting>
  <conditionalFormatting sqref="D43">
    <cfRule type="containsText" dxfId="592" priority="32" operator="containsText" text="DPR not submitted">
      <formula>NOT(ISERROR(SEARCH("DPR not submitted",D43)))</formula>
    </cfRule>
    <cfRule type="containsText" dxfId="591" priority="33" operator="containsText" text="Yet to be approved">
      <formula>NOT(ISERROR(SEARCH("Yet to be approved",D43)))</formula>
    </cfRule>
  </conditionalFormatting>
  <conditionalFormatting sqref="D49">
    <cfRule type="containsText" dxfId="590" priority="30" operator="containsText" text="DPR not submitted">
      <formula>NOT(ISERROR(SEARCH("DPR not submitted",D49)))</formula>
    </cfRule>
    <cfRule type="containsText" dxfId="589" priority="31" operator="containsText" text="Yet to be approved">
      <formula>NOT(ISERROR(SEARCH("Yet to be approved",D49)))</formula>
    </cfRule>
  </conditionalFormatting>
  <conditionalFormatting sqref="D66">
    <cfRule type="containsText" dxfId="588" priority="28" operator="containsText" text="DPR not submitted">
      <formula>NOT(ISERROR(SEARCH("DPR not submitted",D66)))</formula>
    </cfRule>
    <cfRule type="containsText" dxfId="587" priority="29" operator="containsText" text="Yet to be approved">
      <formula>NOT(ISERROR(SEARCH("Yet to be approved",D66)))</formula>
    </cfRule>
  </conditionalFormatting>
  <conditionalFormatting sqref="D66">
    <cfRule type="containsText" dxfId="586" priority="27" operator="containsText" text="DPR not approved">
      <formula>NOT(ISERROR(SEARCH("DPR not approved",D66)))</formula>
    </cfRule>
  </conditionalFormatting>
  <conditionalFormatting sqref="D66">
    <cfRule type="containsText" dxfId="585" priority="25" operator="containsText" text="DPR returmed back for non compliance of queries">
      <formula>NOT(ISERROR(SEARCH("DPR returmed back for non compliance of queries",D66)))</formula>
    </cfRule>
    <cfRule type="containsText" dxfId="584" priority="26" operator="containsText" text="DPR not approved">
      <formula>NOT(ISERROR(SEARCH("DPR not approved",D66)))</formula>
    </cfRule>
  </conditionalFormatting>
  <conditionalFormatting sqref="D69 D71:D74 D76:D77">
    <cfRule type="containsText" dxfId="583" priority="23" operator="containsText" text="DPR not submitted">
      <formula>NOT(ISERROR(SEARCH("DPR not submitted",D69)))</formula>
    </cfRule>
    <cfRule type="containsText" dxfId="582" priority="24" operator="containsText" text="Yet to be approved">
      <formula>NOT(ISERROR(SEARCH("Yet to be approved",D69)))</formula>
    </cfRule>
  </conditionalFormatting>
  <conditionalFormatting sqref="D68">
    <cfRule type="containsText" dxfId="581" priority="20" operator="containsText" text="DPR not approved">
      <formula>NOT(ISERROR(SEARCH("DPR not approved",D68)))</formula>
    </cfRule>
  </conditionalFormatting>
  <conditionalFormatting sqref="D68">
    <cfRule type="containsText" dxfId="580" priority="18" operator="containsText" text="DPR returmed back for non compliance of queries">
      <formula>NOT(ISERROR(SEARCH("DPR returmed back for non compliance of queries",D68)))</formula>
    </cfRule>
    <cfRule type="containsText" dxfId="579" priority="19" operator="containsText" text="DPR not approved">
      <formula>NOT(ISERROR(SEARCH("DPR not approved",D68)))</formula>
    </cfRule>
  </conditionalFormatting>
  <conditionalFormatting sqref="S1:S71 S73:S74 S76:S1048576">
    <cfRule type="cellIs" dxfId="578" priority="13" operator="lessThan">
      <formula>0</formula>
    </cfRule>
  </conditionalFormatting>
  <conditionalFormatting sqref="S72">
    <cfRule type="cellIs" dxfId="577" priority="12" operator="lessThan">
      <formula>0</formula>
    </cfRule>
  </conditionalFormatting>
  <conditionalFormatting sqref="S75">
    <cfRule type="cellIs" dxfId="576" priority="11" operator="lessThan">
      <formula>0</formula>
    </cfRule>
  </conditionalFormatting>
  <conditionalFormatting sqref="D70">
    <cfRule type="containsText" dxfId="575" priority="9" operator="containsText" text="DPR not submitted">
      <formula>NOT(ISERROR(SEARCH("DPR not submitted",D70)))</formula>
    </cfRule>
    <cfRule type="containsText" dxfId="574" priority="10" operator="containsText" text="Yet to be approved">
      <formula>NOT(ISERROR(SEARCH("Yet to be approved",D70)))</formula>
    </cfRule>
  </conditionalFormatting>
  <conditionalFormatting sqref="D70">
    <cfRule type="containsText" dxfId="573" priority="8" operator="containsText" text="DPR not approved">
      <formula>NOT(ISERROR(SEARCH("DPR not approved",D70)))</formula>
    </cfRule>
  </conditionalFormatting>
  <conditionalFormatting sqref="D70">
    <cfRule type="containsText" dxfId="572" priority="6" operator="containsText" text="DPR returmed back for non compliance of queries">
      <formula>NOT(ISERROR(SEARCH("DPR returmed back for non compliance of queries",D70)))</formula>
    </cfRule>
    <cfRule type="containsText" dxfId="571" priority="7" operator="containsText" text="DPR not approved">
      <formula>NOT(ISERROR(SEARCH("DPR not approved",D70)))</formula>
    </cfRule>
  </conditionalFormatting>
  <conditionalFormatting sqref="D75">
    <cfRule type="containsText" dxfId="570" priority="4" operator="containsText" text="DPR not submitted">
      <formula>NOT(ISERROR(SEARCH("DPR not submitted",D75)))</formula>
    </cfRule>
    <cfRule type="containsText" dxfId="569" priority="5" operator="containsText" text="Yet to be approved">
      <formula>NOT(ISERROR(SEARCH("Yet to be approved",D75)))</formula>
    </cfRule>
  </conditionalFormatting>
  <conditionalFormatting sqref="D75">
    <cfRule type="containsText" dxfId="568" priority="3" operator="containsText" text="DPR not approved">
      <formula>NOT(ISERROR(SEARCH("DPR not approved",D75)))</formula>
    </cfRule>
  </conditionalFormatting>
  <conditionalFormatting sqref="D75">
    <cfRule type="containsText" dxfId="567" priority="1" operator="containsText" text="DPR returmed back for non compliance of queries">
      <formula>NOT(ISERROR(SEARCH("DPR returmed back for non compliance of queries",D75)))</formula>
    </cfRule>
    <cfRule type="containsText" dxfId="566" priority="2" operator="containsText" text="DPR not approved">
      <formula>NOT(ISERROR(SEARCH("DPR not approved",D75)))</formula>
    </cfRule>
  </conditionalFormatting>
  <pageMargins left="0.47244094488188981" right="0.19685039370078741" top="0.39370078740157483" bottom="0.35433070866141736" header="0.23622047244094491" footer="0.23622047244094491"/>
  <pageSetup paperSize="9" scale="49" fitToWidth="2" fitToHeight="10" pageOrder="overThenDown" orientation="landscape" blackAndWhite="1" r:id="rId1"/>
  <headerFooter alignWithMargins="0">
    <oddHeader>&amp;F</oddHeader>
  </headerFooter>
  <colBreaks count="1" manualBreakCount="1">
    <brk id="12" max="77"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H295"/>
  <sheetViews>
    <sheetView view="pageBreakPreview" zoomScale="80" zoomScaleNormal="80" zoomScaleSheetLayoutView="80" workbookViewId="0">
      <pane xSplit="2" ySplit="6" topLeftCell="N11" activePane="bottomRight" state="frozen"/>
      <selection activeCell="BE1" sqref="BE1:BF1048576"/>
      <selection pane="topRight" activeCell="BE1" sqref="BE1:BF1048576"/>
      <selection pane="bottomLeft" activeCell="BE1" sqref="BE1:BF1048576"/>
      <selection pane="bottomRight" activeCell="U11" sqref="A1:XFD1048576"/>
    </sheetView>
  </sheetViews>
  <sheetFormatPr defaultColWidth="9.1796875" defaultRowHeight="15.5" outlineLevelRow="1" outlineLevelCol="1" x14ac:dyDescent="0.45"/>
  <cols>
    <col min="1" max="1" width="8.26953125" style="1477" customWidth="1"/>
    <col min="2" max="2" width="46" style="1" customWidth="1"/>
    <col min="3" max="3" width="13.453125" style="1" customWidth="1" outlineLevel="1"/>
    <col min="4" max="4" width="36" style="1578" customWidth="1" outlineLevel="1"/>
    <col min="5" max="6" width="14.26953125" style="1579" customWidth="1" outlineLevel="1"/>
    <col min="7" max="7" width="13" style="1" customWidth="1" outlineLevel="1"/>
    <col min="8" max="8" width="12.26953125" style="1" customWidth="1"/>
    <col min="9" max="9" width="10.1796875" style="1" customWidth="1" outlineLevel="1"/>
    <col min="10" max="10" width="12.81640625" style="1" customWidth="1" outlineLevel="1"/>
    <col min="11" max="14" width="15.26953125" style="1468" customWidth="1" outlineLevel="1"/>
    <col min="15" max="15" width="47.1796875" style="1" customWidth="1"/>
    <col min="16" max="16" width="15.54296875" style="648" hidden="1" customWidth="1"/>
    <col min="17" max="19" width="12.453125" style="1385" hidden="1" customWidth="1"/>
    <col min="20" max="20" width="12.453125" style="1385" customWidth="1" outlineLevel="1"/>
    <col min="21" max="21" width="13.26953125" style="1385" customWidth="1" outlineLevel="1"/>
    <col min="22" max="27" width="12.453125" style="1385" customWidth="1" outlineLevel="1"/>
    <col min="28" max="28" width="12.453125" style="1580" customWidth="1"/>
    <col min="29" max="30" width="16.54296875" style="1485" customWidth="1" outlineLevel="1"/>
    <col min="31" max="33" width="14.453125" style="1485" customWidth="1" outlineLevel="1"/>
    <col min="34" max="34" width="17.26953125" style="1485" customWidth="1" outlineLevel="1"/>
    <col min="35" max="35" width="15.453125" style="1485" customWidth="1" outlineLevel="1"/>
    <col min="36" max="39" width="12.453125" style="1385" customWidth="1" outlineLevel="1"/>
    <col min="40" max="40" width="12.453125" style="1580" customWidth="1"/>
    <col min="41" max="41" width="19.26953125" style="1385" hidden="1" customWidth="1"/>
    <col min="42" max="44" width="13.7265625" style="1385" hidden="1" customWidth="1"/>
    <col min="45" max="48" width="13.7265625" style="1385" customWidth="1" outlineLevel="1"/>
    <col min="49" max="52" width="12.453125" style="1385" customWidth="1" outlineLevel="1"/>
    <col min="53" max="53" width="12.453125" style="1580" customWidth="1" outlineLevel="1"/>
    <col min="54" max="54" width="13.7265625" style="1" customWidth="1" outlineLevel="1"/>
    <col min="55" max="55" width="45" style="1" customWidth="1" outlineLevel="1"/>
    <col min="56" max="56" width="15.7265625" style="1477" bestFit="1" customWidth="1"/>
    <col min="57" max="57" width="15.26953125" style="1" customWidth="1"/>
    <col min="58" max="58" width="12.54296875" style="1" customWidth="1"/>
    <col min="59" max="59" width="13.453125" style="1" customWidth="1"/>
    <col min="60" max="60" width="13.54296875" style="1" customWidth="1"/>
    <col min="61" max="63" width="9.1796875" style="1"/>
    <col min="64" max="64" width="11.26953125" style="1" customWidth="1"/>
    <col min="65" max="16384" width="9.1796875" style="1"/>
  </cols>
  <sheetData>
    <row r="1" spans="1:60" ht="17" x14ac:dyDescent="0.3">
      <c r="A1" s="530"/>
      <c r="B1" s="1467" t="s">
        <v>1747</v>
      </c>
      <c r="C1" s="531"/>
      <c r="D1" s="1382"/>
      <c r="E1" s="1274"/>
      <c r="F1" s="1274"/>
      <c r="G1" s="531"/>
      <c r="H1" s="531"/>
      <c r="I1" s="531"/>
      <c r="J1" s="531"/>
      <c r="K1" s="1275"/>
      <c r="L1" s="1275"/>
      <c r="M1" s="1275"/>
      <c r="O1" s="531"/>
      <c r="P1" s="1469"/>
      <c r="Q1" s="1470"/>
      <c r="R1" s="1470"/>
      <c r="S1" s="1470"/>
      <c r="T1" s="1470"/>
      <c r="U1" s="1470"/>
      <c r="V1" s="1471"/>
      <c r="W1" s="1471"/>
      <c r="X1" s="1471"/>
      <c r="Y1" s="1471"/>
      <c r="Z1" s="1471"/>
      <c r="AA1" s="1471"/>
      <c r="AB1" s="1472"/>
      <c r="AC1" s="1473"/>
      <c r="AD1" s="1473"/>
      <c r="AE1" s="1474"/>
      <c r="AF1" s="1474"/>
      <c r="AG1" s="1474"/>
      <c r="AH1" s="1475"/>
      <c r="AI1" s="1475"/>
      <c r="AJ1" s="1471"/>
      <c r="AK1" s="1471"/>
      <c r="AL1" s="1471"/>
      <c r="AM1" s="1471"/>
      <c r="AN1" s="1472"/>
      <c r="AO1" s="1476"/>
      <c r="AP1" s="1476"/>
      <c r="AQ1" s="1476"/>
      <c r="AR1" s="1476"/>
      <c r="AS1" s="1476"/>
      <c r="AT1" s="1476"/>
      <c r="AU1" s="1476"/>
      <c r="AV1" s="1476"/>
      <c r="AW1" s="1471"/>
      <c r="AX1" s="1471"/>
      <c r="AY1" s="1471"/>
      <c r="AZ1" s="1471"/>
      <c r="BA1" s="1472"/>
      <c r="BB1" s="532"/>
      <c r="BC1" s="532"/>
      <c r="BE1" s="1477" t="s">
        <v>930</v>
      </c>
      <c r="BF1" s="91" t="s">
        <v>936</v>
      </c>
    </row>
    <row r="2" spans="1:60" ht="17" x14ac:dyDescent="0.6">
      <c r="A2" s="533"/>
      <c r="B2" s="1383" t="s">
        <v>1748</v>
      </c>
      <c r="C2" s="1396"/>
      <c r="D2" s="1441"/>
      <c r="E2" s="1442"/>
      <c r="F2" s="1442"/>
      <c r="G2" s="1396"/>
      <c r="H2" s="1478"/>
      <c r="I2" s="1396"/>
      <c r="J2" s="1396"/>
      <c r="K2" s="1479"/>
      <c r="L2" s="1479"/>
      <c r="M2" s="1479"/>
      <c r="O2" s="1396"/>
      <c r="P2" s="1480"/>
      <c r="Q2" s="1395"/>
      <c r="R2" s="1395"/>
      <c r="S2" s="1395"/>
      <c r="T2" s="1395"/>
      <c r="U2" s="1395"/>
      <c r="V2" s="1481"/>
      <c r="W2" s="1481"/>
      <c r="X2" s="1481"/>
      <c r="Y2" s="1481"/>
      <c r="Z2" s="1481"/>
      <c r="AA2" s="1481"/>
      <c r="AB2" s="1482"/>
      <c r="AC2" s="1483"/>
      <c r="AD2" s="1483"/>
      <c r="AE2" s="1484"/>
      <c r="AF2" s="1484"/>
      <c r="AG2" s="1484"/>
      <c r="AJ2" s="1481"/>
      <c r="AK2" s="1481"/>
      <c r="AL2" s="1481"/>
      <c r="AM2" s="1481"/>
      <c r="AN2" s="1482"/>
      <c r="AW2" s="1481"/>
      <c r="AX2" s="1481"/>
      <c r="AY2" s="1481"/>
      <c r="AZ2" s="1481"/>
      <c r="BA2" s="1482"/>
      <c r="BE2" s="1477" t="s">
        <v>938</v>
      </c>
      <c r="BF2" s="91" t="s">
        <v>939</v>
      </c>
    </row>
    <row r="3" spans="1:60" x14ac:dyDescent="0.45">
      <c r="A3" s="534"/>
      <c r="B3" s="536" t="s">
        <v>635</v>
      </c>
      <c r="C3" s="535"/>
      <c r="D3" s="535"/>
      <c r="E3" s="1276"/>
      <c r="F3" s="1276"/>
      <c r="G3" s="535"/>
      <c r="H3" s="535"/>
      <c r="I3" s="535"/>
      <c r="J3" s="535"/>
      <c r="K3" s="1277"/>
      <c r="L3" s="1277"/>
      <c r="M3" s="1277"/>
      <c r="O3" s="537"/>
      <c r="P3" s="1486"/>
      <c r="Q3" s="1487"/>
      <c r="R3" s="1487"/>
      <c r="S3" s="1487"/>
      <c r="T3" s="1487"/>
      <c r="U3" s="1487"/>
      <c r="V3" s="1487"/>
      <c r="W3" s="1487"/>
      <c r="X3" s="1487"/>
      <c r="Y3" s="1487"/>
      <c r="Z3" s="1487"/>
      <c r="AA3" s="1487"/>
      <c r="AB3" s="1488"/>
      <c r="AC3" s="1489"/>
      <c r="AD3" s="1489"/>
      <c r="AE3" s="1489"/>
      <c r="AF3" s="1489"/>
      <c r="AG3" s="1489"/>
      <c r="AH3" s="1489"/>
      <c r="AI3" s="1489"/>
      <c r="AJ3" s="1487"/>
      <c r="AK3" s="1487"/>
      <c r="AL3" s="1487"/>
      <c r="AM3" s="1487"/>
      <c r="AN3" s="1488"/>
      <c r="AO3" s="1487"/>
      <c r="AP3" s="1487"/>
      <c r="AQ3" s="1487"/>
      <c r="AR3" s="1487"/>
      <c r="AS3" s="1487"/>
      <c r="AT3" s="1487"/>
      <c r="AU3" s="1487"/>
      <c r="AV3" s="1487"/>
      <c r="AW3" s="1487"/>
      <c r="AX3" s="1487"/>
      <c r="AY3" s="1487"/>
      <c r="AZ3" s="1487"/>
      <c r="BA3" s="1488"/>
      <c r="BB3" s="537"/>
      <c r="BC3" s="537"/>
      <c r="BE3" s="1477" t="s">
        <v>414</v>
      </c>
      <c r="BF3" s="91" t="s">
        <v>940</v>
      </c>
      <c r="BG3" s="808"/>
      <c r="BH3" s="808"/>
    </row>
    <row r="4" spans="1:60" ht="21.75" customHeight="1" x14ac:dyDescent="0.3">
      <c r="A4" s="1639" t="s">
        <v>340</v>
      </c>
      <c r="B4" s="1639" t="s">
        <v>16</v>
      </c>
      <c r="C4" s="1639" t="s">
        <v>930</v>
      </c>
      <c r="D4" s="1645" t="s">
        <v>487</v>
      </c>
      <c r="E4" s="1746" t="s">
        <v>931</v>
      </c>
      <c r="F4" s="1746" t="s">
        <v>488</v>
      </c>
      <c r="G4" s="1639" t="s">
        <v>932</v>
      </c>
      <c r="H4" s="1639" t="s">
        <v>492</v>
      </c>
      <c r="I4" s="1639" t="s">
        <v>19</v>
      </c>
      <c r="J4" s="1639" t="s">
        <v>585</v>
      </c>
      <c r="K4" s="1746" t="s">
        <v>493</v>
      </c>
      <c r="L4" s="1746" t="s">
        <v>494</v>
      </c>
      <c r="M4" s="1746" t="s">
        <v>495</v>
      </c>
      <c r="N4" s="1746" t="s">
        <v>496</v>
      </c>
      <c r="O4" s="1639" t="s">
        <v>17</v>
      </c>
      <c r="P4" s="1744" t="s">
        <v>22</v>
      </c>
      <c r="Q4" s="1744"/>
      <c r="R4" s="1744"/>
      <c r="S4" s="1744"/>
      <c r="T4" s="1744"/>
      <c r="U4" s="1744"/>
      <c r="V4" s="1744"/>
      <c r="W4" s="1744"/>
      <c r="X4" s="1435"/>
      <c r="Y4" s="1435"/>
      <c r="Z4" s="1435"/>
      <c r="AA4" s="1435"/>
      <c r="AB4" s="1490"/>
      <c r="AC4" s="1748" t="s">
        <v>20</v>
      </c>
      <c r="AD4" s="1748"/>
      <c r="AE4" s="1748"/>
      <c r="AF4" s="1748"/>
      <c r="AG4" s="1748"/>
      <c r="AH4" s="1748"/>
      <c r="AI4" s="1748"/>
      <c r="AJ4" s="1435"/>
      <c r="AK4" s="1435"/>
      <c r="AL4" s="1435"/>
      <c r="AM4" s="1435"/>
      <c r="AN4" s="1490"/>
      <c r="AO4" s="1744" t="s">
        <v>18</v>
      </c>
      <c r="AP4" s="1744"/>
      <c r="AQ4" s="1744"/>
      <c r="AR4" s="1744"/>
      <c r="AS4" s="1744"/>
      <c r="AT4" s="1744"/>
      <c r="AU4" s="1744"/>
      <c r="AV4" s="1744"/>
      <c r="AW4" s="1435"/>
      <c r="AX4" s="1435"/>
      <c r="AY4" s="1435"/>
      <c r="AZ4" s="1435"/>
      <c r="BA4" s="1490"/>
      <c r="BB4" s="1749" t="s">
        <v>933</v>
      </c>
      <c r="BC4" s="1752" t="s">
        <v>28</v>
      </c>
      <c r="BD4" s="1639" t="s">
        <v>934</v>
      </c>
      <c r="BE4" s="1477" t="s">
        <v>942</v>
      </c>
      <c r="BF4" s="1491" t="s">
        <v>943</v>
      </c>
    </row>
    <row r="5" spans="1:60" ht="21.75" customHeight="1" x14ac:dyDescent="0.3">
      <c r="A5" s="1639"/>
      <c r="B5" s="1639"/>
      <c r="C5" s="1639"/>
      <c r="D5" s="1747"/>
      <c r="E5" s="1746"/>
      <c r="F5" s="1746"/>
      <c r="G5" s="1639"/>
      <c r="H5" s="1639"/>
      <c r="I5" s="1639"/>
      <c r="J5" s="1639"/>
      <c r="K5" s="1746"/>
      <c r="L5" s="1746"/>
      <c r="M5" s="1746"/>
      <c r="N5" s="1746"/>
      <c r="O5" s="1639"/>
      <c r="P5" s="1755" t="s">
        <v>712</v>
      </c>
      <c r="Q5" s="1435" t="s">
        <v>7</v>
      </c>
      <c r="R5" s="1435" t="s">
        <v>7</v>
      </c>
      <c r="S5" s="1435" t="s">
        <v>7</v>
      </c>
      <c r="T5" s="1755" t="s">
        <v>1694</v>
      </c>
      <c r="U5" s="1435" t="s">
        <v>7</v>
      </c>
      <c r="V5" s="1435" t="s">
        <v>7</v>
      </c>
      <c r="W5" s="1435" t="s">
        <v>713</v>
      </c>
      <c r="X5" s="1492" t="s">
        <v>21</v>
      </c>
      <c r="Y5" s="1492" t="s">
        <v>21</v>
      </c>
      <c r="Z5" s="1492" t="s">
        <v>21</v>
      </c>
      <c r="AA5" s="1492" t="s">
        <v>21</v>
      </c>
      <c r="AB5" s="1492" t="s">
        <v>21</v>
      </c>
      <c r="AC5" s="1748" t="s">
        <v>714</v>
      </c>
      <c r="AD5" s="1493" t="s">
        <v>7</v>
      </c>
      <c r="AE5" s="1493" t="s">
        <v>7</v>
      </c>
      <c r="AF5" s="1493" t="s">
        <v>7</v>
      </c>
      <c r="AG5" s="1435" t="s">
        <v>7</v>
      </c>
      <c r="AH5" s="1435" t="s">
        <v>7</v>
      </c>
      <c r="AI5" s="1435" t="s">
        <v>713</v>
      </c>
      <c r="AJ5" s="1492" t="s">
        <v>21</v>
      </c>
      <c r="AK5" s="1492" t="s">
        <v>21</v>
      </c>
      <c r="AL5" s="1492" t="s">
        <v>21</v>
      </c>
      <c r="AM5" s="1492" t="s">
        <v>21</v>
      </c>
      <c r="AN5" s="1492" t="s">
        <v>21</v>
      </c>
      <c r="AO5" s="1744" t="s">
        <v>715</v>
      </c>
      <c r="AP5" s="1435" t="s">
        <v>7</v>
      </c>
      <c r="AQ5" s="1435" t="s">
        <v>7</v>
      </c>
      <c r="AR5" s="1435" t="s">
        <v>7</v>
      </c>
      <c r="AS5" s="1744" t="s">
        <v>1695</v>
      </c>
      <c r="AT5" s="1435" t="s">
        <v>7</v>
      </c>
      <c r="AU5" s="1435" t="s">
        <v>7</v>
      </c>
      <c r="AV5" s="1435" t="s">
        <v>713</v>
      </c>
      <c r="AW5" s="1492" t="s">
        <v>21</v>
      </c>
      <c r="AX5" s="1492" t="s">
        <v>21</v>
      </c>
      <c r="AY5" s="1492" t="s">
        <v>21</v>
      </c>
      <c r="AZ5" s="1492" t="s">
        <v>21</v>
      </c>
      <c r="BA5" s="1492" t="s">
        <v>21</v>
      </c>
      <c r="BB5" s="1750"/>
      <c r="BC5" s="1753"/>
      <c r="BD5" s="1639"/>
      <c r="BE5" s="91"/>
      <c r="BF5" s="1491" t="s">
        <v>946</v>
      </c>
    </row>
    <row r="6" spans="1:60" ht="27.75" customHeight="1" x14ac:dyDescent="0.3">
      <c r="A6" s="1639"/>
      <c r="B6" s="1639"/>
      <c r="C6" s="1639"/>
      <c r="D6" s="1646"/>
      <c r="E6" s="1746"/>
      <c r="F6" s="1746"/>
      <c r="G6" s="1639"/>
      <c r="H6" s="1639"/>
      <c r="I6" s="1639"/>
      <c r="J6" s="1639"/>
      <c r="K6" s="1746"/>
      <c r="L6" s="1746"/>
      <c r="M6" s="1746"/>
      <c r="N6" s="1746"/>
      <c r="O6" s="1639"/>
      <c r="P6" s="1756"/>
      <c r="Q6" s="1435" t="s">
        <v>325</v>
      </c>
      <c r="R6" s="1435" t="s">
        <v>503</v>
      </c>
      <c r="S6" s="1435" t="s">
        <v>504</v>
      </c>
      <c r="T6" s="1756"/>
      <c r="U6" s="1435" t="s">
        <v>505</v>
      </c>
      <c r="V6" s="1435" t="s">
        <v>506</v>
      </c>
      <c r="W6" s="1435" t="s">
        <v>507</v>
      </c>
      <c r="X6" s="1492" t="s">
        <v>1067</v>
      </c>
      <c r="Y6" s="1492" t="s">
        <v>1068</v>
      </c>
      <c r="Z6" s="1492" t="s">
        <v>1069</v>
      </c>
      <c r="AA6" s="1492" t="s">
        <v>1070</v>
      </c>
      <c r="AB6" s="1492" t="s">
        <v>1071</v>
      </c>
      <c r="AC6" s="1748"/>
      <c r="AD6" s="1493" t="s">
        <v>325</v>
      </c>
      <c r="AE6" s="1493" t="s">
        <v>503</v>
      </c>
      <c r="AF6" s="1493" t="s">
        <v>504</v>
      </c>
      <c r="AG6" s="1493" t="s">
        <v>505</v>
      </c>
      <c r="AH6" s="1493" t="s">
        <v>506</v>
      </c>
      <c r="AI6" s="1493" t="s">
        <v>507</v>
      </c>
      <c r="AJ6" s="1492" t="s">
        <v>1067</v>
      </c>
      <c r="AK6" s="1492" t="s">
        <v>1068</v>
      </c>
      <c r="AL6" s="1492" t="s">
        <v>1069</v>
      </c>
      <c r="AM6" s="1492" t="s">
        <v>1070</v>
      </c>
      <c r="AN6" s="1492" t="s">
        <v>1071</v>
      </c>
      <c r="AO6" s="1744"/>
      <c r="AP6" s="1435" t="s">
        <v>325</v>
      </c>
      <c r="AQ6" s="1435" t="s">
        <v>503</v>
      </c>
      <c r="AR6" s="1435" t="s">
        <v>504</v>
      </c>
      <c r="AS6" s="1744"/>
      <c r="AT6" s="1435" t="s">
        <v>505</v>
      </c>
      <c r="AU6" s="1435" t="s">
        <v>506</v>
      </c>
      <c r="AV6" s="1435" t="s">
        <v>507</v>
      </c>
      <c r="AW6" s="1492" t="s">
        <v>1067</v>
      </c>
      <c r="AX6" s="1492" t="s">
        <v>1068</v>
      </c>
      <c r="AY6" s="1492" t="s">
        <v>1069</v>
      </c>
      <c r="AZ6" s="1492" t="s">
        <v>1070</v>
      </c>
      <c r="BA6" s="1492" t="s">
        <v>1071</v>
      </c>
      <c r="BB6" s="1751"/>
      <c r="BC6" s="1754"/>
      <c r="BD6" s="1639"/>
      <c r="BE6" s="91"/>
      <c r="BF6" s="1491" t="s">
        <v>947</v>
      </c>
    </row>
    <row r="7" spans="1:60" ht="17" x14ac:dyDescent="0.3">
      <c r="A7" s="1267"/>
      <c r="B7" s="1267"/>
      <c r="C7" s="1267"/>
      <c r="D7" s="1267"/>
      <c r="E7" s="1278"/>
      <c r="F7" s="1278"/>
      <c r="G7" s="1267"/>
      <c r="H7" s="1267"/>
      <c r="I7" s="1267"/>
      <c r="J7" s="1267"/>
      <c r="K7" s="1278"/>
      <c r="L7" s="1278"/>
      <c r="M7" s="1278"/>
      <c r="N7" s="1278"/>
      <c r="O7" s="1267"/>
      <c r="P7" s="1402"/>
      <c r="Q7" s="1402"/>
      <c r="R7" s="1402"/>
      <c r="S7" s="1402"/>
      <c r="T7" s="1402"/>
      <c r="U7" s="1402"/>
      <c r="V7" s="1402"/>
      <c r="W7" s="1402"/>
      <c r="X7" s="1402"/>
      <c r="Y7" s="1402"/>
      <c r="Z7" s="1402"/>
      <c r="AA7" s="1402"/>
      <c r="AB7" s="1494"/>
      <c r="AC7" s="1495"/>
      <c r="AD7" s="1495"/>
      <c r="AE7" s="1495"/>
      <c r="AF7" s="1495"/>
      <c r="AG7" s="1495"/>
      <c r="AH7" s="1495"/>
      <c r="AI7" s="1495"/>
      <c r="AJ7" s="1402"/>
      <c r="AK7" s="1402"/>
      <c r="AL7" s="1402"/>
      <c r="AM7" s="1402"/>
      <c r="AN7" s="1494"/>
      <c r="AO7" s="1402"/>
      <c r="AP7" s="1402"/>
      <c r="AQ7" s="1402"/>
      <c r="AR7" s="1402"/>
      <c r="AS7" s="1402"/>
      <c r="AT7" s="1402"/>
      <c r="AU7" s="1402"/>
      <c r="AV7" s="1402"/>
      <c r="AW7" s="1402"/>
      <c r="AX7" s="1402"/>
      <c r="AY7" s="1402"/>
      <c r="AZ7" s="1402"/>
      <c r="BA7" s="1494"/>
      <c r="BB7" s="1266"/>
      <c r="BC7" s="1267"/>
      <c r="BD7" s="1279" t="s">
        <v>935</v>
      </c>
      <c r="BE7" s="91"/>
      <c r="BF7" s="91" t="s">
        <v>935</v>
      </c>
    </row>
    <row r="8" spans="1:60" ht="16.5" x14ac:dyDescent="0.45">
      <c r="A8" s="1280"/>
      <c r="B8" s="1281" t="s">
        <v>937</v>
      </c>
      <c r="C8" s="9"/>
      <c r="D8" s="127"/>
      <c r="E8" s="1292"/>
      <c r="F8" s="1292"/>
      <c r="G8" s="9"/>
      <c r="H8" s="9"/>
      <c r="I8" s="9"/>
      <c r="J8" s="9"/>
      <c r="K8" s="1293"/>
      <c r="L8" s="1293"/>
      <c r="M8" s="1293"/>
      <c r="N8" s="1293"/>
      <c r="O8" s="9"/>
      <c r="P8" s="428"/>
      <c r="Q8" s="428"/>
      <c r="R8" s="428"/>
      <c r="S8" s="428"/>
      <c r="T8" s="428"/>
      <c r="U8" s="428"/>
      <c r="V8" s="428"/>
      <c r="W8" s="428"/>
      <c r="X8" s="428"/>
      <c r="Y8" s="428"/>
      <c r="Z8" s="428"/>
      <c r="AA8" s="428"/>
      <c r="AB8" s="1496"/>
      <c r="AC8" s="1497"/>
      <c r="AD8" s="1497"/>
      <c r="AE8" s="1497"/>
      <c r="AF8" s="1497"/>
      <c r="AG8" s="1497"/>
      <c r="AH8" s="1497"/>
      <c r="AI8" s="1497"/>
      <c r="AJ8" s="428"/>
      <c r="AK8" s="428"/>
      <c r="AL8" s="428"/>
      <c r="AM8" s="428"/>
      <c r="AN8" s="1496"/>
      <c r="AO8" s="428"/>
      <c r="AP8" s="428"/>
      <c r="AQ8" s="428"/>
      <c r="AR8" s="428"/>
      <c r="AS8" s="428"/>
      <c r="AT8" s="428"/>
      <c r="AU8" s="428"/>
      <c r="AV8" s="428"/>
      <c r="AW8" s="428"/>
      <c r="AX8" s="428"/>
      <c r="AY8" s="428"/>
      <c r="AZ8" s="428"/>
      <c r="BA8" s="1496"/>
      <c r="BB8" s="428"/>
      <c r="BC8" s="9"/>
      <c r="BD8" s="160" t="s">
        <v>935</v>
      </c>
      <c r="BE8" s="91"/>
      <c r="BF8" s="91" t="s">
        <v>950</v>
      </c>
    </row>
    <row r="9" spans="1:60" x14ac:dyDescent="0.45">
      <c r="A9" s="1280"/>
      <c r="B9" s="1282" t="s">
        <v>24</v>
      </c>
      <c r="C9" s="9"/>
      <c r="D9" s="127"/>
      <c r="E9" s="1292"/>
      <c r="F9" s="1292"/>
      <c r="G9" s="9"/>
      <c r="H9" s="9"/>
      <c r="I9" s="9"/>
      <c r="J9" s="9"/>
      <c r="K9" s="1293"/>
      <c r="L9" s="1293"/>
      <c r="M9" s="1293"/>
      <c r="N9" s="1293"/>
      <c r="O9" s="9"/>
      <c r="P9" s="428"/>
      <c r="Q9" s="428"/>
      <c r="R9" s="428"/>
      <c r="S9" s="428"/>
      <c r="T9" s="428"/>
      <c r="U9" s="428"/>
      <c r="V9" s="428"/>
      <c r="W9" s="428"/>
      <c r="X9" s="428"/>
      <c r="Y9" s="428"/>
      <c r="Z9" s="428"/>
      <c r="AA9" s="428"/>
      <c r="AB9" s="1496"/>
      <c r="AC9" s="1497"/>
      <c r="AD9" s="1497"/>
      <c r="AE9" s="1497"/>
      <c r="AF9" s="1497"/>
      <c r="AG9" s="1497"/>
      <c r="AH9" s="1497"/>
      <c r="AI9" s="1497"/>
      <c r="AJ9" s="428"/>
      <c r="AK9" s="428"/>
      <c r="AL9" s="428"/>
      <c r="AM9" s="428"/>
      <c r="AN9" s="1496"/>
      <c r="AO9" s="428"/>
      <c r="AP9" s="428"/>
      <c r="AQ9" s="428"/>
      <c r="AR9" s="428"/>
      <c r="AS9" s="428"/>
      <c r="AT9" s="428"/>
      <c r="AU9" s="428"/>
      <c r="AV9" s="428"/>
      <c r="AW9" s="428"/>
      <c r="AX9" s="428"/>
      <c r="AY9" s="428"/>
      <c r="AZ9" s="428"/>
      <c r="BA9" s="1496"/>
      <c r="BB9" s="428"/>
      <c r="BC9" s="9"/>
      <c r="BD9" s="160" t="s">
        <v>935</v>
      </c>
    </row>
    <row r="10" spans="1:60" s="91" customFormat="1" ht="31" outlineLevel="1" x14ac:dyDescent="0.25">
      <c r="A10" s="1406">
        <v>1</v>
      </c>
      <c r="B10" s="1407" t="s">
        <v>941</v>
      </c>
      <c r="C10" s="1498" t="s">
        <v>930</v>
      </c>
      <c r="D10" s="1498" t="s">
        <v>1696</v>
      </c>
      <c r="E10" s="1499">
        <v>40826</v>
      </c>
      <c r="F10" s="1499">
        <v>41022</v>
      </c>
      <c r="G10" s="1283">
        <f>SUM(G11:G14)</f>
        <v>10.177999999999999</v>
      </c>
      <c r="H10" s="1283">
        <f>SUM(H11:H14)</f>
        <v>10.177999999999999</v>
      </c>
      <c r="I10" s="538"/>
      <c r="J10" s="538"/>
      <c r="K10" s="1451">
        <f>IF(F10=0,"-",F10)</f>
        <v>41022</v>
      </c>
      <c r="L10" s="1284"/>
      <c r="M10" s="1284"/>
      <c r="N10" s="1284"/>
      <c r="O10" s="1500"/>
      <c r="P10" s="1501"/>
      <c r="Q10" s="1501"/>
      <c r="R10" s="1501"/>
      <c r="S10" s="1501"/>
      <c r="T10" s="1501">
        <f>SUM(P10:S10)</f>
        <v>0</v>
      </c>
      <c r="U10" s="1452"/>
      <c r="V10" s="1452"/>
      <c r="W10" s="1452"/>
      <c r="X10" s="1452"/>
      <c r="Y10" s="1452"/>
      <c r="Z10" s="1452"/>
      <c r="AA10" s="1452"/>
      <c r="AB10" s="1502"/>
      <c r="AC10" s="1503"/>
      <c r="AD10" s="1503"/>
      <c r="AE10" s="1503"/>
      <c r="AF10" s="1503"/>
      <c r="AG10" s="1504"/>
      <c r="AH10" s="1504"/>
      <c r="AI10" s="1504"/>
      <c r="AJ10" s="1452"/>
      <c r="AK10" s="1452"/>
      <c r="AL10" s="1452"/>
      <c r="AM10" s="1452"/>
      <c r="AN10" s="1502"/>
      <c r="AO10" s="1501"/>
      <c r="AP10" s="1501"/>
      <c r="AQ10" s="1501"/>
      <c r="AR10" s="1501"/>
      <c r="AS10" s="1501">
        <f>SUM(AO10:AR10)</f>
        <v>0</v>
      </c>
      <c r="AT10" s="1505"/>
      <c r="AU10" s="1505"/>
      <c r="AV10" s="1505"/>
      <c r="AW10" s="1452"/>
      <c r="AX10" s="1452"/>
      <c r="AY10" s="1452"/>
      <c r="AZ10" s="1452"/>
      <c r="BA10" s="1502"/>
      <c r="BB10" s="1452"/>
      <c r="BC10" s="1500"/>
      <c r="BD10" s="1506" t="s">
        <v>935</v>
      </c>
    </row>
    <row r="11" spans="1:60" ht="71.5" outlineLevel="1" x14ac:dyDescent="0.45">
      <c r="A11" s="1411">
        <v>1.1000000000000001</v>
      </c>
      <c r="B11" s="1412" t="s">
        <v>944</v>
      </c>
      <c r="C11" s="1507" t="s">
        <v>938</v>
      </c>
      <c r="D11" s="1507" t="str">
        <f>D10</f>
        <v>MERC/CAPEX/20122013/00179</v>
      </c>
      <c r="E11" s="1508">
        <f>E10</f>
        <v>40826</v>
      </c>
      <c r="F11" s="1508">
        <f>IF(F10=0,"-",F10)</f>
        <v>41022</v>
      </c>
      <c r="G11" s="1285">
        <v>3.524</v>
      </c>
      <c r="H11" s="1285">
        <v>3.524</v>
      </c>
      <c r="I11" s="539"/>
      <c r="J11" s="539"/>
      <c r="K11" s="1454">
        <f t="shared" ref="K11:K75" si="0">IF(F11=0,"-",F11)</f>
        <v>41022</v>
      </c>
      <c r="L11" s="1286">
        <v>40785</v>
      </c>
      <c r="M11" s="1286">
        <v>41387</v>
      </c>
      <c r="N11" s="1286">
        <v>40813</v>
      </c>
      <c r="O11" s="1509" t="s">
        <v>1697</v>
      </c>
      <c r="P11" s="1510">
        <v>3.47</v>
      </c>
      <c r="Q11" s="1510"/>
      <c r="R11" s="1510"/>
      <c r="S11" s="1510"/>
      <c r="T11" s="1510">
        <f>SUM(P11:S11)</f>
        <v>3.47</v>
      </c>
      <c r="U11" s="1409"/>
      <c r="V11" s="1409"/>
      <c r="W11" s="1409"/>
      <c r="X11" s="1409"/>
      <c r="Y11" s="1409"/>
      <c r="Z11" s="1409"/>
      <c r="AA11" s="1409"/>
      <c r="AB11" s="1511"/>
      <c r="AC11" s="1512">
        <v>1</v>
      </c>
      <c r="AD11" s="1512"/>
      <c r="AE11" s="1512"/>
      <c r="AF11" s="1512"/>
      <c r="AG11" s="1513"/>
      <c r="AH11" s="1513"/>
      <c r="AI11" s="1513"/>
      <c r="AJ11" s="1409"/>
      <c r="AK11" s="1409"/>
      <c r="AL11" s="1409"/>
      <c r="AM11" s="1409"/>
      <c r="AN11" s="1511"/>
      <c r="AO11" s="1510">
        <v>3.47</v>
      </c>
      <c r="AP11" s="1510"/>
      <c r="AQ11" s="1510"/>
      <c r="AR11" s="1510"/>
      <c r="AS11" s="1501">
        <f t="shared" ref="AS11:AS74" si="1">SUM(AO11:AR11)</f>
        <v>3.47</v>
      </c>
      <c r="AT11" s="1514"/>
      <c r="AU11" s="1514"/>
      <c r="AV11" s="1514"/>
      <c r="AW11" s="1409"/>
      <c r="AX11" s="1409"/>
      <c r="AY11" s="1409"/>
      <c r="AZ11" s="1409"/>
      <c r="BA11" s="1511"/>
      <c r="BB11" s="1409"/>
      <c r="BC11" s="1515" t="s">
        <v>945</v>
      </c>
      <c r="BD11" s="1516" t="s">
        <v>943</v>
      </c>
    </row>
    <row r="12" spans="1:60" outlineLevel="1" x14ac:dyDescent="0.45">
      <c r="A12" s="1411"/>
      <c r="B12" s="1412" t="s">
        <v>414</v>
      </c>
      <c r="C12" s="1507" t="s">
        <v>414</v>
      </c>
      <c r="D12" s="1507" t="str">
        <f>D10</f>
        <v>MERC/CAPEX/20122013/00179</v>
      </c>
      <c r="E12" s="1508">
        <f>E10</f>
        <v>40826</v>
      </c>
      <c r="F12" s="1508">
        <f t="shared" ref="F12:F14" si="2">IF(F11=0,"-",F11)</f>
        <v>41022</v>
      </c>
      <c r="G12" s="1285">
        <v>0.20300000000000001</v>
      </c>
      <c r="H12" s="1285">
        <v>0.20300000000000001</v>
      </c>
      <c r="I12" s="539"/>
      <c r="J12" s="539"/>
      <c r="K12" s="1454">
        <f t="shared" si="0"/>
        <v>41022</v>
      </c>
      <c r="L12" s="1287"/>
      <c r="M12" s="1287"/>
      <c r="N12" s="1287"/>
      <c r="O12" s="1515"/>
      <c r="P12" s="1510">
        <v>0</v>
      </c>
      <c r="Q12" s="1510"/>
      <c r="R12" s="1510"/>
      <c r="S12" s="1510"/>
      <c r="T12" s="1510">
        <f t="shared" ref="T12:T75" si="3">SUM(P12:S12)</f>
        <v>0</v>
      </c>
      <c r="U12" s="1409"/>
      <c r="V12" s="1409"/>
      <c r="W12" s="1409"/>
      <c r="X12" s="1409"/>
      <c r="Y12" s="1409"/>
      <c r="Z12" s="1409"/>
      <c r="AA12" s="1409"/>
      <c r="AB12" s="1511"/>
      <c r="AC12" s="1512"/>
      <c r="AD12" s="1512"/>
      <c r="AE12" s="1512"/>
      <c r="AF12" s="1512"/>
      <c r="AG12" s="1513"/>
      <c r="AH12" s="1513"/>
      <c r="AI12" s="1513"/>
      <c r="AJ12" s="1409"/>
      <c r="AK12" s="1409"/>
      <c r="AL12" s="1409"/>
      <c r="AM12" s="1409"/>
      <c r="AN12" s="1511"/>
      <c r="AO12" s="1510">
        <v>0</v>
      </c>
      <c r="AP12" s="1510"/>
      <c r="AQ12" s="1510"/>
      <c r="AR12" s="1510"/>
      <c r="AS12" s="1501">
        <f t="shared" si="1"/>
        <v>0</v>
      </c>
      <c r="AT12" s="1514"/>
      <c r="AU12" s="1514"/>
      <c r="AV12" s="1514"/>
      <c r="AW12" s="1409"/>
      <c r="AX12" s="1409"/>
      <c r="AY12" s="1409"/>
      <c r="AZ12" s="1409"/>
      <c r="BA12" s="1511"/>
      <c r="BB12" s="1409"/>
      <c r="BC12" s="1515"/>
      <c r="BD12" s="1516" t="s">
        <v>935</v>
      </c>
    </row>
    <row r="13" spans="1:60" ht="71.5" outlineLevel="1" x14ac:dyDescent="0.45">
      <c r="A13" s="1411">
        <v>1.2</v>
      </c>
      <c r="B13" s="1412" t="s">
        <v>948</v>
      </c>
      <c r="C13" s="1507" t="s">
        <v>938</v>
      </c>
      <c r="D13" s="1507" t="str">
        <f>D10</f>
        <v>MERC/CAPEX/20122013/00179</v>
      </c>
      <c r="E13" s="1508">
        <f>E10</f>
        <v>40826</v>
      </c>
      <c r="F13" s="1508">
        <f t="shared" si="2"/>
        <v>41022</v>
      </c>
      <c r="G13" s="1285">
        <v>6.0940000000000003</v>
      </c>
      <c r="H13" s="1285">
        <v>6.0940000000000003</v>
      </c>
      <c r="I13" s="539"/>
      <c r="J13" s="539"/>
      <c r="K13" s="1454">
        <f t="shared" si="0"/>
        <v>41022</v>
      </c>
      <c r="L13" s="1286">
        <v>40785</v>
      </c>
      <c r="M13" s="1286">
        <v>41387</v>
      </c>
      <c r="N13" s="1286">
        <v>40813</v>
      </c>
      <c r="O13" s="1509" t="s">
        <v>1698</v>
      </c>
      <c r="P13" s="1510">
        <v>5.32</v>
      </c>
      <c r="Q13" s="1510"/>
      <c r="R13" s="1510"/>
      <c r="S13" s="1510"/>
      <c r="T13" s="1510">
        <f t="shared" si="3"/>
        <v>5.32</v>
      </c>
      <c r="U13" s="1409"/>
      <c r="V13" s="1409"/>
      <c r="W13" s="1409"/>
      <c r="X13" s="1409"/>
      <c r="Y13" s="1409"/>
      <c r="Z13" s="1409"/>
      <c r="AA13" s="1409"/>
      <c r="AB13" s="1511"/>
      <c r="AC13" s="1512">
        <v>1</v>
      </c>
      <c r="AD13" s="1512"/>
      <c r="AE13" s="1512"/>
      <c r="AF13" s="1512"/>
      <c r="AG13" s="1513"/>
      <c r="AH13" s="1513"/>
      <c r="AI13" s="1513"/>
      <c r="AJ13" s="1409"/>
      <c r="AK13" s="1409"/>
      <c r="AL13" s="1409"/>
      <c r="AM13" s="1409"/>
      <c r="AN13" s="1511"/>
      <c r="AO13" s="1510">
        <v>5.32</v>
      </c>
      <c r="AP13" s="1510"/>
      <c r="AQ13" s="1510"/>
      <c r="AR13" s="1510"/>
      <c r="AS13" s="1501">
        <f t="shared" si="1"/>
        <v>5.32</v>
      </c>
      <c r="AT13" s="1514"/>
      <c r="AU13" s="1514"/>
      <c r="AV13" s="1514"/>
      <c r="AW13" s="1409"/>
      <c r="AX13" s="1409"/>
      <c r="AY13" s="1409"/>
      <c r="AZ13" s="1409"/>
      <c r="BA13" s="1511"/>
      <c r="BB13" s="1409"/>
      <c r="BC13" s="1515" t="s">
        <v>949</v>
      </c>
      <c r="BD13" s="1516" t="s">
        <v>943</v>
      </c>
    </row>
    <row r="14" spans="1:60" outlineLevel="1" x14ac:dyDescent="0.45">
      <c r="A14" s="1411"/>
      <c r="B14" s="1412" t="s">
        <v>414</v>
      </c>
      <c r="C14" s="1507" t="s">
        <v>414</v>
      </c>
      <c r="D14" s="1507" t="str">
        <f>D10</f>
        <v>MERC/CAPEX/20122013/00179</v>
      </c>
      <c r="E14" s="1508">
        <f>E10</f>
        <v>40826</v>
      </c>
      <c r="F14" s="1508">
        <f t="shared" si="2"/>
        <v>41022</v>
      </c>
      <c r="G14" s="1285">
        <v>0.35699999999999998</v>
      </c>
      <c r="H14" s="1285">
        <v>0.35699999999999998</v>
      </c>
      <c r="I14" s="539"/>
      <c r="J14" s="539"/>
      <c r="K14" s="1454">
        <f t="shared" si="0"/>
        <v>41022</v>
      </c>
      <c r="L14" s="1287"/>
      <c r="M14" s="1287"/>
      <c r="N14" s="1287"/>
      <c r="O14" s="1515"/>
      <c r="P14" s="1510">
        <v>0</v>
      </c>
      <c r="Q14" s="1510"/>
      <c r="R14" s="1510"/>
      <c r="S14" s="1510"/>
      <c r="T14" s="1510">
        <f t="shared" si="3"/>
        <v>0</v>
      </c>
      <c r="U14" s="1409"/>
      <c r="V14" s="1409"/>
      <c r="W14" s="1409"/>
      <c r="X14" s="1409"/>
      <c r="Y14" s="1409"/>
      <c r="Z14" s="1409"/>
      <c r="AA14" s="1409"/>
      <c r="AB14" s="1511"/>
      <c r="AC14" s="1512"/>
      <c r="AD14" s="1512"/>
      <c r="AE14" s="1512"/>
      <c r="AF14" s="1512"/>
      <c r="AG14" s="1513"/>
      <c r="AH14" s="1513"/>
      <c r="AI14" s="1513"/>
      <c r="AJ14" s="1409"/>
      <c r="AK14" s="1409"/>
      <c r="AL14" s="1409"/>
      <c r="AM14" s="1409"/>
      <c r="AN14" s="1511"/>
      <c r="AO14" s="1510">
        <v>0</v>
      </c>
      <c r="AP14" s="1510"/>
      <c r="AQ14" s="1510"/>
      <c r="AR14" s="1510"/>
      <c r="AS14" s="1501">
        <f t="shared" si="1"/>
        <v>0</v>
      </c>
      <c r="AT14" s="1514"/>
      <c r="AU14" s="1514"/>
      <c r="AV14" s="1514"/>
      <c r="AW14" s="1409"/>
      <c r="AX14" s="1409"/>
      <c r="AY14" s="1409"/>
      <c r="AZ14" s="1409"/>
      <c r="BA14" s="1511"/>
      <c r="BB14" s="1409"/>
      <c r="BC14" s="1515"/>
      <c r="BD14" s="1516" t="s">
        <v>935</v>
      </c>
    </row>
    <row r="15" spans="1:60" s="91" customFormat="1" ht="31" outlineLevel="1" x14ac:dyDescent="0.3">
      <c r="A15" s="1406">
        <v>2</v>
      </c>
      <c r="B15" s="1407" t="s">
        <v>951</v>
      </c>
      <c r="C15" s="1498" t="s">
        <v>930</v>
      </c>
      <c r="D15" s="1498" t="s">
        <v>1699</v>
      </c>
      <c r="E15" s="1499">
        <v>40878</v>
      </c>
      <c r="F15" s="1499">
        <v>41285</v>
      </c>
      <c r="G15" s="1283">
        <f>SUM(G16:G23)</f>
        <v>16.783000000000001</v>
      </c>
      <c r="H15" s="1283">
        <f>SUM(H16:H23)</f>
        <v>16.783805100000002</v>
      </c>
      <c r="I15" s="538"/>
      <c r="J15" s="538"/>
      <c r="K15" s="1451">
        <f t="shared" si="0"/>
        <v>41285</v>
      </c>
      <c r="L15" s="1284"/>
      <c r="M15" s="1284"/>
      <c r="N15" s="1284"/>
      <c r="O15" s="1500"/>
      <c r="P15" s="1501"/>
      <c r="Q15" s="1501"/>
      <c r="R15" s="1501"/>
      <c r="S15" s="1501"/>
      <c r="T15" s="1510">
        <f t="shared" si="3"/>
        <v>0</v>
      </c>
      <c r="U15" s="1452"/>
      <c r="V15" s="1452"/>
      <c r="W15" s="1452"/>
      <c r="X15" s="1452"/>
      <c r="Y15" s="1452"/>
      <c r="Z15" s="1452"/>
      <c r="AA15" s="1452"/>
      <c r="AB15" s="1502"/>
      <c r="AC15" s="1503"/>
      <c r="AD15" s="1503"/>
      <c r="AE15" s="1503"/>
      <c r="AF15" s="1503"/>
      <c r="AG15" s="1504"/>
      <c r="AH15" s="1504"/>
      <c r="AI15" s="1504"/>
      <c r="AJ15" s="1452"/>
      <c r="AK15" s="1452"/>
      <c r="AL15" s="1452"/>
      <c r="AM15" s="1452"/>
      <c r="AN15" s="1502"/>
      <c r="AO15" s="1501"/>
      <c r="AP15" s="1501"/>
      <c r="AQ15" s="1501"/>
      <c r="AR15" s="1501"/>
      <c r="AS15" s="1501">
        <f t="shared" si="1"/>
        <v>0</v>
      </c>
      <c r="AT15" s="1505"/>
      <c r="AU15" s="1505"/>
      <c r="AV15" s="1505"/>
      <c r="AW15" s="1452"/>
      <c r="AX15" s="1452"/>
      <c r="AY15" s="1452"/>
      <c r="AZ15" s="1452"/>
      <c r="BA15" s="1502"/>
      <c r="BB15" s="1452"/>
      <c r="BC15" s="1500"/>
      <c r="BD15" s="1506" t="s">
        <v>935</v>
      </c>
      <c r="BE15" s="1477"/>
      <c r="BF15" s="1491"/>
    </row>
    <row r="16" spans="1:60" ht="31" outlineLevel="1" x14ac:dyDescent="0.45">
      <c r="A16" s="1411">
        <v>2.1</v>
      </c>
      <c r="B16" s="1412" t="s">
        <v>952</v>
      </c>
      <c r="C16" s="1507" t="s">
        <v>938</v>
      </c>
      <c r="D16" s="1507" t="str">
        <f>D15</f>
        <v>MERC/TECH 1/CAPEX/20122013/02325</v>
      </c>
      <c r="E16" s="1508">
        <f>E15</f>
        <v>40878</v>
      </c>
      <c r="F16" s="1508">
        <f t="shared" ref="F16:F23" si="4">IF(F15=0,"-",F15)</f>
        <v>41285</v>
      </c>
      <c r="G16" s="1285">
        <v>0.28599999999999998</v>
      </c>
      <c r="H16" s="1285">
        <v>0.28599999999999998</v>
      </c>
      <c r="I16" s="539"/>
      <c r="J16" s="539"/>
      <c r="K16" s="1454">
        <f t="shared" si="0"/>
        <v>41285</v>
      </c>
      <c r="L16" s="1287"/>
      <c r="M16" s="1286">
        <v>42380</v>
      </c>
      <c r="N16" s="1287"/>
      <c r="O16" s="1515"/>
      <c r="P16" s="1510">
        <v>0</v>
      </c>
      <c r="Q16" s="1510"/>
      <c r="R16" s="1510"/>
      <c r="S16" s="1510"/>
      <c r="T16" s="1510">
        <f t="shared" si="3"/>
        <v>0</v>
      </c>
      <c r="U16" s="1409"/>
      <c r="V16" s="1409"/>
      <c r="W16" s="1409"/>
      <c r="X16" s="1409"/>
      <c r="Y16" s="1409"/>
      <c r="Z16" s="1409"/>
      <c r="AA16" s="1409"/>
      <c r="AB16" s="1511"/>
      <c r="AC16" s="1512"/>
      <c r="AD16" s="1512"/>
      <c r="AE16" s="1512"/>
      <c r="AF16" s="1512"/>
      <c r="AG16" s="1513"/>
      <c r="AH16" s="1513"/>
      <c r="AI16" s="1513"/>
      <c r="AJ16" s="1409"/>
      <c r="AK16" s="1409"/>
      <c r="AL16" s="1409"/>
      <c r="AM16" s="1409"/>
      <c r="AN16" s="1511"/>
      <c r="AO16" s="1510">
        <v>0</v>
      </c>
      <c r="AP16" s="1510"/>
      <c r="AQ16" s="1510"/>
      <c r="AR16" s="1510"/>
      <c r="AS16" s="1501">
        <f t="shared" si="1"/>
        <v>0</v>
      </c>
      <c r="AT16" s="1514"/>
      <c r="AU16" s="1514"/>
      <c r="AV16" s="1514"/>
      <c r="AW16" s="1409"/>
      <c r="AX16" s="1409"/>
      <c r="AY16" s="1409"/>
      <c r="AZ16" s="1409"/>
      <c r="BA16" s="1511"/>
      <c r="BB16" s="1409"/>
      <c r="BC16" s="1509" t="s">
        <v>953</v>
      </c>
      <c r="BD16" s="1506" t="s">
        <v>946</v>
      </c>
    </row>
    <row r="17" spans="1:58" ht="31" outlineLevel="1" x14ac:dyDescent="0.45">
      <c r="A17" s="1411">
        <v>2.2000000000000002</v>
      </c>
      <c r="B17" s="1412" t="s">
        <v>954</v>
      </c>
      <c r="C17" s="1507" t="s">
        <v>938</v>
      </c>
      <c r="D17" s="1507" t="str">
        <f t="shared" ref="D17:E23" si="5">D16</f>
        <v>MERC/TECH 1/CAPEX/20122013/02325</v>
      </c>
      <c r="E17" s="1508">
        <f t="shared" si="5"/>
        <v>40878</v>
      </c>
      <c r="F17" s="1508">
        <f t="shared" si="4"/>
        <v>41285</v>
      </c>
      <c r="G17" s="1285">
        <v>0.51900000000000002</v>
      </c>
      <c r="H17" s="1285">
        <v>0.51900000000000002</v>
      </c>
      <c r="I17" s="539"/>
      <c r="J17" s="539"/>
      <c r="K17" s="1454">
        <f t="shared" si="0"/>
        <v>41285</v>
      </c>
      <c r="L17" s="1287"/>
      <c r="M17" s="1286">
        <v>42380</v>
      </c>
      <c r="N17" s="1287"/>
      <c r="O17" s="1515"/>
      <c r="P17" s="1510">
        <v>0</v>
      </c>
      <c r="Q17" s="1510"/>
      <c r="R17" s="1510"/>
      <c r="S17" s="1510"/>
      <c r="T17" s="1510">
        <f t="shared" si="3"/>
        <v>0</v>
      </c>
      <c r="U17" s="1409"/>
      <c r="V17" s="1409"/>
      <c r="W17" s="1409"/>
      <c r="X17" s="1409"/>
      <c r="Y17" s="1409"/>
      <c r="Z17" s="1409"/>
      <c r="AA17" s="1409"/>
      <c r="AB17" s="1511"/>
      <c r="AC17" s="1512"/>
      <c r="AD17" s="1512"/>
      <c r="AE17" s="1512"/>
      <c r="AF17" s="1512"/>
      <c r="AG17" s="1513"/>
      <c r="AH17" s="1513"/>
      <c r="AI17" s="1513"/>
      <c r="AJ17" s="1409"/>
      <c r="AK17" s="1409"/>
      <c r="AL17" s="1409"/>
      <c r="AM17" s="1409"/>
      <c r="AN17" s="1511"/>
      <c r="AO17" s="1510">
        <v>0</v>
      </c>
      <c r="AP17" s="1510"/>
      <c r="AQ17" s="1510"/>
      <c r="AR17" s="1510"/>
      <c r="AS17" s="1501">
        <f t="shared" si="1"/>
        <v>0</v>
      </c>
      <c r="AT17" s="1514"/>
      <c r="AU17" s="1514"/>
      <c r="AV17" s="1514"/>
      <c r="AW17" s="1409"/>
      <c r="AX17" s="1409"/>
      <c r="AY17" s="1409"/>
      <c r="AZ17" s="1409"/>
      <c r="BA17" s="1511"/>
      <c r="BB17" s="1409"/>
      <c r="BC17" s="1509" t="s">
        <v>955</v>
      </c>
      <c r="BD17" s="1516" t="s">
        <v>936</v>
      </c>
    </row>
    <row r="18" spans="1:58" ht="31" outlineLevel="1" x14ac:dyDescent="0.45">
      <c r="A18" s="1411">
        <v>2.2999999999999998</v>
      </c>
      <c r="B18" s="1412" t="s">
        <v>956</v>
      </c>
      <c r="C18" s="1507" t="s">
        <v>938</v>
      </c>
      <c r="D18" s="1507" t="str">
        <f t="shared" si="5"/>
        <v>MERC/TECH 1/CAPEX/20122013/02325</v>
      </c>
      <c r="E18" s="1508">
        <f t="shared" si="5"/>
        <v>40878</v>
      </c>
      <c r="F18" s="1508">
        <f t="shared" si="4"/>
        <v>41285</v>
      </c>
      <c r="G18" s="1285">
        <v>0.29299999999999998</v>
      </c>
      <c r="H18" s="1285">
        <v>0.29299999999999998</v>
      </c>
      <c r="I18" s="539"/>
      <c r="J18" s="539"/>
      <c r="K18" s="1454">
        <f t="shared" si="0"/>
        <v>41285</v>
      </c>
      <c r="L18" s="1287"/>
      <c r="M18" s="1286">
        <v>42380</v>
      </c>
      <c r="N18" s="1287"/>
      <c r="O18" s="1515"/>
      <c r="P18" s="1510">
        <v>0</v>
      </c>
      <c r="Q18" s="1510"/>
      <c r="R18" s="1510"/>
      <c r="S18" s="1510"/>
      <c r="T18" s="1510">
        <f t="shared" si="3"/>
        <v>0</v>
      </c>
      <c r="U18" s="1409"/>
      <c r="V18" s="1409"/>
      <c r="W18" s="1409"/>
      <c r="X18" s="1409"/>
      <c r="Y18" s="1409"/>
      <c r="Z18" s="1409"/>
      <c r="AA18" s="1409"/>
      <c r="AB18" s="1511"/>
      <c r="AC18" s="1512"/>
      <c r="AD18" s="1512"/>
      <c r="AE18" s="1512"/>
      <c r="AF18" s="1512"/>
      <c r="AG18" s="1513"/>
      <c r="AH18" s="1513"/>
      <c r="AI18" s="1513"/>
      <c r="AJ18" s="1409"/>
      <c r="AK18" s="1409"/>
      <c r="AL18" s="1409"/>
      <c r="AM18" s="1409"/>
      <c r="AN18" s="1511"/>
      <c r="AO18" s="1510">
        <v>0</v>
      </c>
      <c r="AP18" s="1510"/>
      <c r="AQ18" s="1510"/>
      <c r="AR18" s="1510"/>
      <c r="AS18" s="1501">
        <f t="shared" si="1"/>
        <v>0</v>
      </c>
      <c r="AT18" s="1514"/>
      <c r="AU18" s="1514"/>
      <c r="AV18" s="1514"/>
      <c r="AW18" s="1409"/>
      <c r="AX18" s="1409"/>
      <c r="AY18" s="1409"/>
      <c r="AZ18" s="1409"/>
      <c r="BA18" s="1511"/>
      <c r="BB18" s="1409"/>
      <c r="BC18" s="1509" t="s">
        <v>955</v>
      </c>
      <c r="BD18" s="1516" t="s">
        <v>936</v>
      </c>
    </row>
    <row r="19" spans="1:58" ht="31" outlineLevel="1" x14ac:dyDescent="0.45">
      <c r="A19" s="1411">
        <v>2.4</v>
      </c>
      <c r="B19" s="1412" t="s">
        <v>957</v>
      </c>
      <c r="C19" s="1507" t="s">
        <v>938</v>
      </c>
      <c r="D19" s="1507" t="str">
        <f t="shared" si="5"/>
        <v>MERC/TECH 1/CAPEX/20122013/02325</v>
      </c>
      <c r="E19" s="1508">
        <f t="shared" si="5"/>
        <v>40878</v>
      </c>
      <c r="F19" s="1508">
        <f t="shared" si="4"/>
        <v>41285</v>
      </c>
      <c r="G19" s="1285">
        <v>0.20599999999999999</v>
      </c>
      <c r="H19" s="1285">
        <v>0.20599999999999999</v>
      </c>
      <c r="I19" s="539"/>
      <c r="J19" s="539"/>
      <c r="K19" s="1454">
        <f t="shared" si="0"/>
        <v>41285</v>
      </c>
      <c r="L19" s="1286">
        <v>41554</v>
      </c>
      <c r="M19" s="1286">
        <v>42380</v>
      </c>
      <c r="N19" s="1287"/>
      <c r="O19" s="1515"/>
      <c r="P19" s="1510">
        <v>0.26354099999999997</v>
      </c>
      <c r="Q19" s="1510"/>
      <c r="R19" s="1510"/>
      <c r="S19" s="1510"/>
      <c r="T19" s="1510">
        <f t="shared" si="3"/>
        <v>0.26354099999999997</v>
      </c>
      <c r="U19" s="1409"/>
      <c r="V19" s="1409"/>
      <c r="W19" s="1409"/>
      <c r="X19" s="1409"/>
      <c r="Y19" s="1409"/>
      <c r="Z19" s="1409"/>
      <c r="AA19" s="1409"/>
      <c r="AB19" s="1511"/>
      <c r="AC19" s="1512">
        <v>1</v>
      </c>
      <c r="AD19" s="1512"/>
      <c r="AE19" s="1512"/>
      <c r="AF19" s="1512"/>
      <c r="AG19" s="1513"/>
      <c r="AH19" s="1513"/>
      <c r="AI19" s="1513"/>
      <c r="AJ19" s="1409"/>
      <c r="AK19" s="1409"/>
      <c r="AL19" s="1409"/>
      <c r="AM19" s="1409"/>
      <c r="AN19" s="1511"/>
      <c r="AO19" s="1510">
        <v>0.26354099999999997</v>
      </c>
      <c r="AP19" s="1510"/>
      <c r="AQ19" s="1510"/>
      <c r="AR19" s="1510"/>
      <c r="AS19" s="1501">
        <f t="shared" si="1"/>
        <v>0.26354099999999997</v>
      </c>
      <c r="AT19" s="1514"/>
      <c r="AU19" s="1514"/>
      <c r="AV19" s="1514"/>
      <c r="AW19" s="1409"/>
      <c r="AX19" s="1409"/>
      <c r="AY19" s="1409"/>
      <c r="AZ19" s="1409"/>
      <c r="BA19" s="1511"/>
      <c r="BB19" s="1409"/>
      <c r="BC19" s="1509" t="s">
        <v>958</v>
      </c>
      <c r="BD19" s="1516" t="s">
        <v>943</v>
      </c>
    </row>
    <row r="20" spans="1:58" ht="43.5" outlineLevel="1" x14ac:dyDescent="0.45">
      <c r="A20" s="1411">
        <v>2.5</v>
      </c>
      <c r="B20" s="1412" t="s">
        <v>959</v>
      </c>
      <c r="C20" s="1507" t="s">
        <v>938</v>
      </c>
      <c r="D20" s="1507" t="str">
        <f t="shared" si="5"/>
        <v>MERC/TECH 1/CAPEX/20122013/02325</v>
      </c>
      <c r="E20" s="1508">
        <f t="shared" si="5"/>
        <v>40878</v>
      </c>
      <c r="F20" s="1508">
        <f t="shared" si="4"/>
        <v>41285</v>
      </c>
      <c r="G20" s="1285">
        <v>8.3689999999999998</v>
      </c>
      <c r="H20" s="1285">
        <v>8.3689999999999998</v>
      </c>
      <c r="I20" s="539"/>
      <c r="J20" s="539"/>
      <c r="K20" s="1454">
        <f t="shared" si="0"/>
        <v>41285</v>
      </c>
      <c r="L20" s="1286">
        <v>42586</v>
      </c>
      <c r="M20" s="1286">
        <v>42380</v>
      </c>
      <c r="N20" s="1286">
        <v>42661</v>
      </c>
      <c r="O20" s="1509" t="s">
        <v>1700</v>
      </c>
      <c r="P20" s="1510">
        <v>5.319992955</v>
      </c>
      <c r="Q20" s="1510"/>
      <c r="R20" s="1510"/>
      <c r="S20" s="1510"/>
      <c r="T20" s="1510">
        <f t="shared" si="3"/>
        <v>5.319992955</v>
      </c>
      <c r="U20" s="1409"/>
      <c r="V20" s="1409"/>
      <c r="W20" s="1409"/>
      <c r="X20" s="1409"/>
      <c r="Y20" s="1409"/>
      <c r="Z20" s="1409"/>
      <c r="AA20" s="1409"/>
      <c r="AB20" s="1511"/>
      <c r="AC20" s="1512">
        <v>1</v>
      </c>
      <c r="AD20" s="1512"/>
      <c r="AE20" s="1512"/>
      <c r="AF20" s="1512"/>
      <c r="AG20" s="1513"/>
      <c r="AH20" s="1513"/>
      <c r="AI20" s="1513"/>
      <c r="AJ20" s="1409"/>
      <c r="AK20" s="1409"/>
      <c r="AL20" s="1409"/>
      <c r="AM20" s="1409"/>
      <c r="AN20" s="1511"/>
      <c r="AO20" s="1510">
        <v>5.319992955</v>
      </c>
      <c r="AP20" s="1510"/>
      <c r="AQ20" s="1510"/>
      <c r="AR20" s="1510"/>
      <c r="AS20" s="1501">
        <f t="shared" si="1"/>
        <v>5.319992955</v>
      </c>
      <c r="AT20" s="1514"/>
      <c r="AU20" s="1514"/>
      <c r="AV20" s="1514"/>
      <c r="AW20" s="1409"/>
      <c r="AX20" s="1409"/>
      <c r="AY20" s="1409"/>
      <c r="AZ20" s="1409"/>
      <c r="BA20" s="1511"/>
      <c r="BB20" s="1409"/>
      <c r="BC20" s="1509" t="s">
        <v>960</v>
      </c>
      <c r="BD20" s="1516" t="s">
        <v>943</v>
      </c>
    </row>
    <row r="21" spans="1:58" ht="57.5" outlineLevel="1" x14ac:dyDescent="0.45">
      <c r="A21" s="1411">
        <v>2.6</v>
      </c>
      <c r="B21" s="1412" t="s">
        <v>961</v>
      </c>
      <c r="C21" s="1507" t="s">
        <v>938</v>
      </c>
      <c r="D21" s="1507" t="str">
        <f t="shared" si="5"/>
        <v>MERC/TECH 1/CAPEX/20122013/02325</v>
      </c>
      <c r="E21" s="1508">
        <f t="shared" si="5"/>
        <v>40878</v>
      </c>
      <c r="F21" s="1508">
        <f t="shared" si="4"/>
        <v>41285</v>
      </c>
      <c r="G21" s="1285">
        <v>6.032</v>
      </c>
      <c r="H21" s="1285">
        <v>6.032</v>
      </c>
      <c r="I21" s="539"/>
      <c r="J21" s="539"/>
      <c r="K21" s="1454">
        <f t="shared" si="0"/>
        <v>41285</v>
      </c>
      <c r="L21" s="1286">
        <v>42586</v>
      </c>
      <c r="M21" s="1286">
        <v>42380</v>
      </c>
      <c r="N21" s="1286">
        <v>42656</v>
      </c>
      <c r="O21" s="1509" t="s">
        <v>1701</v>
      </c>
      <c r="P21" s="1510">
        <v>3.47281854</v>
      </c>
      <c r="Q21" s="1510"/>
      <c r="R21" s="1510"/>
      <c r="S21" s="1510"/>
      <c r="T21" s="1510">
        <f t="shared" si="3"/>
        <v>3.47281854</v>
      </c>
      <c r="U21" s="1409"/>
      <c r="V21" s="1409"/>
      <c r="W21" s="1409"/>
      <c r="X21" s="1409"/>
      <c r="Y21" s="1409"/>
      <c r="Z21" s="1409"/>
      <c r="AA21" s="1409"/>
      <c r="AB21" s="1511"/>
      <c r="AC21" s="1512">
        <v>1</v>
      </c>
      <c r="AD21" s="1512"/>
      <c r="AE21" s="1512"/>
      <c r="AF21" s="1512"/>
      <c r="AG21" s="1513"/>
      <c r="AH21" s="1513"/>
      <c r="AI21" s="1513"/>
      <c r="AJ21" s="1409"/>
      <c r="AK21" s="1409"/>
      <c r="AL21" s="1409"/>
      <c r="AM21" s="1409"/>
      <c r="AN21" s="1511"/>
      <c r="AO21" s="1510">
        <v>3.47281854</v>
      </c>
      <c r="AP21" s="1510"/>
      <c r="AQ21" s="1510"/>
      <c r="AR21" s="1510"/>
      <c r="AS21" s="1501">
        <f t="shared" si="1"/>
        <v>3.47281854</v>
      </c>
      <c r="AT21" s="1514"/>
      <c r="AU21" s="1514"/>
      <c r="AV21" s="1514"/>
      <c r="AW21" s="1409"/>
      <c r="AX21" s="1409"/>
      <c r="AY21" s="1409"/>
      <c r="AZ21" s="1409"/>
      <c r="BA21" s="1511"/>
      <c r="BB21" s="1409"/>
      <c r="BC21" s="1509" t="s">
        <v>962</v>
      </c>
      <c r="BD21" s="1516" t="s">
        <v>943</v>
      </c>
    </row>
    <row r="22" spans="1:58" ht="31" outlineLevel="1" x14ac:dyDescent="0.45">
      <c r="A22" s="1411">
        <v>2.7</v>
      </c>
      <c r="B22" s="1412" t="s">
        <v>963</v>
      </c>
      <c r="C22" s="1507" t="s">
        <v>938</v>
      </c>
      <c r="D22" s="1507" t="str">
        <f t="shared" si="5"/>
        <v>MERC/TECH 1/CAPEX/20122013/02325</v>
      </c>
      <c r="E22" s="1508">
        <f t="shared" si="5"/>
        <v>40878</v>
      </c>
      <c r="F22" s="1508">
        <f t="shared" si="4"/>
        <v>41285</v>
      </c>
      <c r="G22" s="1285">
        <v>0.14799999999999999</v>
      </c>
      <c r="H22" s="1285">
        <v>0.1488051</v>
      </c>
      <c r="I22" s="539"/>
      <c r="J22" s="539"/>
      <c r="K22" s="1454">
        <f t="shared" si="0"/>
        <v>41285</v>
      </c>
      <c r="L22" s="1286">
        <v>42185</v>
      </c>
      <c r="M22" s="1286">
        <v>42380</v>
      </c>
      <c r="N22" s="1286">
        <v>42338</v>
      </c>
      <c r="O22" s="1515"/>
      <c r="P22" s="1510">
        <v>0.1488051</v>
      </c>
      <c r="Q22" s="1510"/>
      <c r="R22" s="1510"/>
      <c r="S22" s="1510"/>
      <c r="T22" s="1510">
        <f t="shared" si="3"/>
        <v>0.1488051</v>
      </c>
      <c r="U22" s="1409"/>
      <c r="V22" s="1409"/>
      <c r="W22" s="1409"/>
      <c r="X22" s="1409"/>
      <c r="Y22" s="1409"/>
      <c r="Z22" s="1409"/>
      <c r="AA22" s="1409"/>
      <c r="AB22" s="1511"/>
      <c r="AC22" s="1512">
        <v>1</v>
      </c>
      <c r="AD22" s="1512"/>
      <c r="AE22" s="1512"/>
      <c r="AF22" s="1512"/>
      <c r="AG22" s="1513"/>
      <c r="AH22" s="1513"/>
      <c r="AI22" s="1513"/>
      <c r="AJ22" s="1409"/>
      <c r="AK22" s="1409"/>
      <c r="AL22" s="1409"/>
      <c r="AM22" s="1409"/>
      <c r="AN22" s="1511"/>
      <c r="AO22" s="1510">
        <v>0.1488051</v>
      </c>
      <c r="AP22" s="1510"/>
      <c r="AQ22" s="1510"/>
      <c r="AR22" s="1510"/>
      <c r="AS22" s="1501">
        <f t="shared" si="1"/>
        <v>0.1488051</v>
      </c>
      <c r="AT22" s="1514"/>
      <c r="AU22" s="1514"/>
      <c r="AV22" s="1514"/>
      <c r="AW22" s="1409"/>
      <c r="AX22" s="1409"/>
      <c r="AY22" s="1409"/>
      <c r="AZ22" s="1409"/>
      <c r="BA22" s="1511"/>
      <c r="BB22" s="1409"/>
      <c r="BC22" s="1509" t="s">
        <v>964</v>
      </c>
      <c r="BD22" s="1516" t="s">
        <v>943</v>
      </c>
    </row>
    <row r="23" spans="1:58" ht="31" outlineLevel="1" x14ac:dyDescent="0.45">
      <c r="A23" s="1416"/>
      <c r="B23" s="1412" t="s">
        <v>414</v>
      </c>
      <c r="C23" s="1517" t="s">
        <v>414</v>
      </c>
      <c r="D23" s="1507" t="str">
        <f t="shared" si="5"/>
        <v>MERC/TECH 1/CAPEX/20122013/02325</v>
      </c>
      <c r="E23" s="1508">
        <f t="shared" si="5"/>
        <v>40878</v>
      </c>
      <c r="F23" s="1508">
        <f t="shared" si="4"/>
        <v>41285</v>
      </c>
      <c r="G23" s="1288">
        <v>0.93</v>
      </c>
      <c r="H23" s="1288">
        <v>0.93</v>
      </c>
      <c r="I23" s="539"/>
      <c r="J23" s="539"/>
      <c r="K23" s="1454">
        <f t="shared" si="0"/>
        <v>41285</v>
      </c>
      <c r="L23" s="1287"/>
      <c r="M23" s="1287"/>
      <c r="N23" s="1287"/>
      <c r="O23" s="1515"/>
      <c r="P23" s="1510">
        <v>0</v>
      </c>
      <c r="Q23" s="1510"/>
      <c r="R23" s="1510"/>
      <c r="S23" s="1510"/>
      <c r="T23" s="1510">
        <f t="shared" si="3"/>
        <v>0</v>
      </c>
      <c r="U23" s="1409"/>
      <c r="V23" s="1409"/>
      <c r="W23" s="1409"/>
      <c r="X23" s="1409"/>
      <c r="Y23" s="1409"/>
      <c r="Z23" s="1409"/>
      <c r="AA23" s="1409"/>
      <c r="AB23" s="1511"/>
      <c r="AC23" s="1512"/>
      <c r="AD23" s="1512"/>
      <c r="AE23" s="1512"/>
      <c r="AF23" s="1512"/>
      <c r="AG23" s="1513"/>
      <c r="AH23" s="1513"/>
      <c r="AI23" s="1513"/>
      <c r="AJ23" s="1409"/>
      <c r="AK23" s="1409"/>
      <c r="AL23" s="1409"/>
      <c r="AM23" s="1409"/>
      <c r="AN23" s="1511"/>
      <c r="AO23" s="1510">
        <v>0</v>
      </c>
      <c r="AP23" s="1510"/>
      <c r="AQ23" s="1510"/>
      <c r="AR23" s="1510"/>
      <c r="AS23" s="1501">
        <f t="shared" si="1"/>
        <v>0</v>
      </c>
      <c r="AT23" s="1514"/>
      <c r="AU23" s="1514"/>
      <c r="AV23" s="1514"/>
      <c r="AW23" s="1409"/>
      <c r="AX23" s="1409"/>
      <c r="AY23" s="1409"/>
      <c r="AZ23" s="1409"/>
      <c r="BA23" s="1511"/>
      <c r="BB23" s="1409"/>
      <c r="BC23" s="1515"/>
      <c r="BD23" s="1516" t="s">
        <v>935</v>
      </c>
    </row>
    <row r="24" spans="1:58" s="91" customFormat="1" ht="18.5" outlineLevel="1" x14ac:dyDescent="0.3">
      <c r="A24" s="1406">
        <v>3</v>
      </c>
      <c r="B24" s="1407" t="s">
        <v>965</v>
      </c>
      <c r="C24" s="1498" t="s">
        <v>930</v>
      </c>
      <c r="D24" s="1498" t="s">
        <v>1702</v>
      </c>
      <c r="E24" s="1499">
        <v>40980</v>
      </c>
      <c r="F24" s="1499">
        <v>41114</v>
      </c>
      <c r="G24" s="1283">
        <f>SUM(G25:G38)</f>
        <v>45.918030000000002</v>
      </c>
      <c r="H24" s="1283">
        <f>SUM(H25:H38)</f>
        <v>45.918030000000002</v>
      </c>
      <c r="I24" s="538"/>
      <c r="J24" s="538"/>
      <c r="K24" s="1451">
        <f t="shared" si="0"/>
        <v>41114</v>
      </c>
      <c r="L24" s="1284"/>
      <c r="M24" s="1284"/>
      <c r="N24" s="1284"/>
      <c r="O24" s="1500"/>
      <c r="P24" s="1501"/>
      <c r="Q24" s="1501"/>
      <c r="R24" s="1501"/>
      <c r="S24" s="1501"/>
      <c r="T24" s="1510">
        <f t="shared" si="3"/>
        <v>0</v>
      </c>
      <c r="U24" s="1452"/>
      <c r="V24" s="1452"/>
      <c r="W24" s="1452"/>
      <c r="X24" s="1452"/>
      <c r="Y24" s="1452"/>
      <c r="Z24" s="1452"/>
      <c r="AA24" s="1452"/>
      <c r="AB24" s="1502"/>
      <c r="AC24" s="1503"/>
      <c r="AD24" s="1503"/>
      <c r="AE24" s="1503"/>
      <c r="AF24" s="1503"/>
      <c r="AG24" s="1504"/>
      <c r="AH24" s="1504"/>
      <c r="AI24" s="1504"/>
      <c r="AJ24" s="1452"/>
      <c r="AK24" s="1452"/>
      <c r="AL24" s="1452"/>
      <c r="AM24" s="1452"/>
      <c r="AN24" s="1502"/>
      <c r="AO24" s="1501"/>
      <c r="AP24" s="1501"/>
      <c r="AQ24" s="1501"/>
      <c r="AR24" s="1501"/>
      <c r="AS24" s="1501">
        <f t="shared" si="1"/>
        <v>0</v>
      </c>
      <c r="AT24" s="1505"/>
      <c r="AU24" s="1505"/>
      <c r="AV24" s="1505"/>
      <c r="AW24" s="1452"/>
      <c r="AX24" s="1452"/>
      <c r="AY24" s="1452"/>
      <c r="AZ24" s="1452"/>
      <c r="BA24" s="1502"/>
      <c r="BB24" s="1452"/>
      <c r="BC24" s="1500"/>
      <c r="BD24" s="1506" t="s">
        <v>935</v>
      </c>
      <c r="BE24" s="1477"/>
      <c r="BF24" s="1491"/>
    </row>
    <row r="25" spans="1:58" outlineLevel="1" x14ac:dyDescent="0.45">
      <c r="A25" s="1416">
        <v>3.1</v>
      </c>
      <c r="B25" s="1412" t="s">
        <v>966</v>
      </c>
      <c r="C25" s="1517" t="s">
        <v>938</v>
      </c>
      <c r="D25" s="1517" t="str">
        <f>D24</f>
        <v>MERC/CAPEX/20122013/00912</v>
      </c>
      <c r="E25" s="1518">
        <f>E24</f>
        <v>40980</v>
      </c>
      <c r="F25" s="1508">
        <f t="shared" ref="F25:F38" si="6">IF(F24=0,"-",F24)</f>
        <v>41114</v>
      </c>
      <c r="G25" s="1285">
        <v>0.8044</v>
      </c>
      <c r="H25" s="1285">
        <v>0.8044</v>
      </c>
      <c r="I25" s="539"/>
      <c r="J25" s="539"/>
      <c r="K25" s="1454">
        <f t="shared" si="0"/>
        <v>41114</v>
      </c>
      <c r="L25" s="1287"/>
      <c r="M25" s="1286">
        <v>41844</v>
      </c>
      <c r="N25" s="1287"/>
      <c r="O25" s="1519"/>
      <c r="P25" s="1510">
        <v>0</v>
      </c>
      <c r="Q25" s="1510"/>
      <c r="R25" s="1510"/>
      <c r="S25" s="1510"/>
      <c r="T25" s="1510">
        <f t="shared" si="3"/>
        <v>0</v>
      </c>
      <c r="U25" s="1409"/>
      <c r="V25" s="1409"/>
      <c r="W25" s="1409"/>
      <c r="X25" s="1409"/>
      <c r="Y25" s="1409"/>
      <c r="Z25" s="1409"/>
      <c r="AA25" s="1409"/>
      <c r="AB25" s="1511"/>
      <c r="AC25" s="1512"/>
      <c r="AD25" s="1512"/>
      <c r="AE25" s="1512"/>
      <c r="AF25" s="1512"/>
      <c r="AG25" s="1513"/>
      <c r="AH25" s="1513"/>
      <c r="AI25" s="1513"/>
      <c r="AJ25" s="1409"/>
      <c r="AK25" s="1409"/>
      <c r="AL25" s="1409"/>
      <c r="AM25" s="1409"/>
      <c r="AN25" s="1511"/>
      <c r="AO25" s="1510">
        <v>0</v>
      </c>
      <c r="AP25" s="1510"/>
      <c r="AQ25" s="1510"/>
      <c r="AR25" s="1510"/>
      <c r="AS25" s="1501">
        <f t="shared" si="1"/>
        <v>0</v>
      </c>
      <c r="AT25" s="1514"/>
      <c r="AU25" s="1514"/>
      <c r="AV25" s="1514"/>
      <c r="AW25" s="1409"/>
      <c r="AX25" s="1409"/>
      <c r="AY25" s="1409"/>
      <c r="AZ25" s="1409"/>
      <c r="BA25" s="1511"/>
      <c r="BB25" s="1409"/>
      <c r="BC25" s="1515"/>
      <c r="BD25" s="1506" t="s">
        <v>946</v>
      </c>
    </row>
    <row r="26" spans="1:58" ht="31" outlineLevel="1" x14ac:dyDescent="0.45">
      <c r="A26" s="1416">
        <v>3.2</v>
      </c>
      <c r="B26" s="1412" t="s">
        <v>967</v>
      </c>
      <c r="C26" s="1517" t="s">
        <v>938</v>
      </c>
      <c r="D26" s="1517" t="str">
        <f t="shared" ref="D26:E38" si="7">D25</f>
        <v>MERC/CAPEX/20122013/00912</v>
      </c>
      <c r="E26" s="1518">
        <f t="shared" si="7"/>
        <v>40980</v>
      </c>
      <c r="F26" s="1508">
        <f t="shared" si="6"/>
        <v>41114</v>
      </c>
      <c r="G26" s="1285">
        <v>0.41149999999999998</v>
      </c>
      <c r="H26" s="1285">
        <v>0.41149999999999998</v>
      </c>
      <c r="I26" s="539"/>
      <c r="J26" s="539"/>
      <c r="K26" s="1454">
        <f t="shared" si="0"/>
        <v>41114</v>
      </c>
      <c r="L26" s="1287"/>
      <c r="M26" s="1286">
        <v>41844</v>
      </c>
      <c r="N26" s="1287"/>
      <c r="O26" s="1519"/>
      <c r="P26" s="1510">
        <v>0</v>
      </c>
      <c r="Q26" s="1510"/>
      <c r="R26" s="1510"/>
      <c r="S26" s="1510"/>
      <c r="T26" s="1510">
        <f t="shared" si="3"/>
        <v>0</v>
      </c>
      <c r="U26" s="1409"/>
      <c r="V26" s="1409"/>
      <c r="W26" s="1409"/>
      <c r="X26" s="1409"/>
      <c r="Y26" s="1409"/>
      <c r="Z26" s="1409"/>
      <c r="AA26" s="1409"/>
      <c r="AB26" s="1511"/>
      <c r="AC26" s="1512"/>
      <c r="AD26" s="1512"/>
      <c r="AE26" s="1512"/>
      <c r="AF26" s="1512"/>
      <c r="AG26" s="1513"/>
      <c r="AH26" s="1513"/>
      <c r="AI26" s="1513"/>
      <c r="AJ26" s="1409"/>
      <c r="AK26" s="1409"/>
      <c r="AL26" s="1409"/>
      <c r="AM26" s="1409"/>
      <c r="AN26" s="1511"/>
      <c r="AO26" s="1510">
        <v>0</v>
      </c>
      <c r="AP26" s="1510"/>
      <c r="AQ26" s="1510"/>
      <c r="AR26" s="1510"/>
      <c r="AS26" s="1501">
        <f t="shared" si="1"/>
        <v>0</v>
      </c>
      <c r="AT26" s="1514"/>
      <c r="AU26" s="1514"/>
      <c r="AV26" s="1514"/>
      <c r="AW26" s="1409"/>
      <c r="AX26" s="1409"/>
      <c r="AY26" s="1409"/>
      <c r="AZ26" s="1409"/>
      <c r="BA26" s="1511"/>
      <c r="BB26" s="1409"/>
      <c r="BC26" s="1515"/>
      <c r="BD26" s="1506" t="s">
        <v>946</v>
      </c>
    </row>
    <row r="27" spans="1:58" ht="31" outlineLevel="1" x14ac:dyDescent="0.45">
      <c r="A27" s="1416">
        <v>3.3</v>
      </c>
      <c r="B27" s="1412" t="s">
        <v>968</v>
      </c>
      <c r="C27" s="1517" t="s">
        <v>938</v>
      </c>
      <c r="D27" s="1517" t="str">
        <f t="shared" si="7"/>
        <v>MERC/CAPEX/20122013/00912</v>
      </c>
      <c r="E27" s="1518">
        <f t="shared" si="7"/>
        <v>40980</v>
      </c>
      <c r="F27" s="1508">
        <f t="shared" si="6"/>
        <v>41114</v>
      </c>
      <c r="G27" s="1285">
        <f>10.98+10.98</f>
        <v>21.96</v>
      </c>
      <c r="H27" s="1285">
        <f>10.98+10.98</f>
        <v>21.96</v>
      </c>
      <c r="I27" s="539"/>
      <c r="J27" s="539"/>
      <c r="K27" s="1454">
        <f t="shared" si="0"/>
        <v>41114</v>
      </c>
      <c r="L27" s="1287"/>
      <c r="M27" s="1286">
        <v>41844</v>
      </c>
      <c r="N27" s="1287"/>
      <c r="O27" s="1519"/>
      <c r="P27" s="1510">
        <v>0</v>
      </c>
      <c r="Q27" s="1510"/>
      <c r="R27" s="1510"/>
      <c r="S27" s="1510"/>
      <c r="T27" s="1510">
        <f t="shared" si="3"/>
        <v>0</v>
      </c>
      <c r="U27" s="1409"/>
      <c r="V27" s="1409"/>
      <c r="W27" s="1409"/>
      <c r="X27" s="1409"/>
      <c r="Y27" s="1409"/>
      <c r="Z27" s="1409"/>
      <c r="AA27" s="1409"/>
      <c r="AB27" s="1511"/>
      <c r="AC27" s="1512"/>
      <c r="AD27" s="1512"/>
      <c r="AE27" s="1512"/>
      <c r="AF27" s="1512"/>
      <c r="AG27" s="1513"/>
      <c r="AH27" s="1513"/>
      <c r="AI27" s="1513"/>
      <c r="AJ27" s="1409"/>
      <c r="AK27" s="1409"/>
      <c r="AL27" s="1409"/>
      <c r="AM27" s="1409"/>
      <c r="AN27" s="1511"/>
      <c r="AO27" s="1510">
        <v>0</v>
      </c>
      <c r="AP27" s="1510"/>
      <c r="AQ27" s="1510"/>
      <c r="AR27" s="1510"/>
      <c r="AS27" s="1501">
        <f t="shared" si="1"/>
        <v>0</v>
      </c>
      <c r="AT27" s="1514"/>
      <c r="AU27" s="1514"/>
      <c r="AV27" s="1514"/>
      <c r="AW27" s="1409"/>
      <c r="AX27" s="1409"/>
      <c r="AY27" s="1409"/>
      <c r="AZ27" s="1409"/>
      <c r="BA27" s="1511"/>
      <c r="BB27" s="1409"/>
      <c r="BC27" s="1515"/>
      <c r="BD27" s="1506" t="s">
        <v>946</v>
      </c>
    </row>
    <row r="28" spans="1:58" ht="31" outlineLevel="1" x14ac:dyDescent="0.45">
      <c r="A28" s="1416">
        <v>3.4</v>
      </c>
      <c r="B28" s="1412" t="s">
        <v>969</v>
      </c>
      <c r="C28" s="1517" t="s">
        <v>938</v>
      </c>
      <c r="D28" s="1517" t="str">
        <f t="shared" si="7"/>
        <v>MERC/CAPEX/20122013/00912</v>
      </c>
      <c r="E28" s="1518">
        <f t="shared" si="7"/>
        <v>40980</v>
      </c>
      <c r="F28" s="1508">
        <f t="shared" si="6"/>
        <v>41114</v>
      </c>
      <c r="G28" s="1285">
        <f>1.41+0.6615</f>
        <v>2.0714999999999999</v>
      </c>
      <c r="H28" s="1285">
        <f>1.41+0.6615</f>
        <v>2.0714999999999999</v>
      </c>
      <c r="I28" s="539"/>
      <c r="J28" s="539"/>
      <c r="K28" s="1454">
        <f t="shared" si="0"/>
        <v>41114</v>
      </c>
      <c r="L28" s="1287"/>
      <c r="M28" s="1286">
        <v>41844</v>
      </c>
      <c r="N28" s="1287"/>
      <c r="O28" s="1519"/>
      <c r="P28" s="1510">
        <v>0</v>
      </c>
      <c r="Q28" s="1510"/>
      <c r="R28" s="1510"/>
      <c r="S28" s="1510"/>
      <c r="T28" s="1510">
        <f t="shared" si="3"/>
        <v>0</v>
      </c>
      <c r="U28" s="1409"/>
      <c r="V28" s="1409"/>
      <c r="W28" s="1409"/>
      <c r="X28" s="1409"/>
      <c r="Y28" s="1409"/>
      <c r="Z28" s="1409"/>
      <c r="AA28" s="1409"/>
      <c r="AB28" s="1511"/>
      <c r="AC28" s="1512"/>
      <c r="AD28" s="1512"/>
      <c r="AE28" s="1512"/>
      <c r="AF28" s="1512"/>
      <c r="AG28" s="1513"/>
      <c r="AH28" s="1513"/>
      <c r="AI28" s="1513"/>
      <c r="AJ28" s="1409"/>
      <c r="AK28" s="1409"/>
      <c r="AL28" s="1409"/>
      <c r="AM28" s="1409"/>
      <c r="AN28" s="1511"/>
      <c r="AO28" s="1510">
        <v>0</v>
      </c>
      <c r="AP28" s="1510"/>
      <c r="AQ28" s="1510"/>
      <c r="AR28" s="1510"/>
      <c r="AS28" s="1501">
        <f t="shared" si="1"/>
        <v>0</v>
      </c>
      <c r="AT28" s="1514"/>
      <c r="AU28" s="1514"/>
      <c r="AV28" s="1514"/>
      <c r="AW28" s="1409"/>
      <c r="AX28" s="1409"/>
      <c r="AY28" s="1409"/>
      <c r="AZ28" s="1409"/>
      <c r="BA28" s="1511"/>
      <c r="BB28" s="1409"/>
      <c r="BC28" s="1515"/>
      <c r="BD28" s="1506" t="s">
        <v>946</v>
      </c>
    </row>
    <row r="29" spans="1:58" ht="93" outlineLevel="1" x14ac:dyDescent="0.45">
      <c r="A29" s="1416">
        <v>3.5</v>
      </c>
      <c r="B29" s="1412" t="s">
        <v>970</v>
      </c>
      <c r="C29" s="1517" t="s">
        <v>938</v>
      </c>
      <c r="D29" s="1517" t="str">
        <f t="shared" si="7"/>
        <v>MERC/CAPEX/20122013/00912</v>
      </c>
      <c r="E29" s="1518">
        <f t="shared" si="7"/>
        <v>40980</v>
      </c>
      <c r="F29" s="1508">
        <f t="shared" si="6"/>
        <v>41114</v>
      </c>
      <c r="G29" s="1285">
        <f>0.7063+0.3234+0.5359+0.7175</f>
        <v>2.2831000000000001</v>
      </c>
      <c r="H29" s="1285">
        <f>0.7063+0.3234+0.5359+0.7175</f>
        <v>2.2831000000000001</v>
      </c>
      <c r="I29" s="539"/>
      <c r="J29" s="539"/>
      <c r="K29" s="1454">
        <f t="shared" si="0"/>
        <v>41114</v>
      </c>
      <c r="L29" s="1286">
        <v>41676</v>
      </c>
      <c r="M29" s="1286">
        <v>41844</v>
      </c>
      <c r="N29" s="1286">
        <v>43277</v>
      </c>
      <c r="O29" s="1519" t="s">
        <v>971</v>
      </c>
      <c r="P29" s="1510">
        <v>0.4695358</v>
      </c>
      <c r="Q29" s="1510"/>
      <c r="R29" s="1510"/>
      <c r="S29" s="1510"/>
      <c r="T29" s="1510">
        <f t="shared" si="3"/>
        <v>0.4695358</v>
      </c>
      <c r="U29" s="1409"/>
      <c r="V29" s="1409"/>
      <c r="W29" s="1409"/>
      <c r="X29" s="1409"/>
      <c r="Y29" s="1409"/>
      <c r="Z29" s="1409"/>
      <c r="AA29" s="1409"/>
      <c r="AB29" s="1511"/>
      <c r="AC29" s="1512">
        <v>1</v>
      </c>
      <c r="AD29" s="1512"/>
      <c r="AE29" s="1512"/>
      <c r="AF29" s="1512"/>
      <c r="AG29" s="1513"/>
      <c r="AH29" s="1513"/>
      <c r="AI29" s="1513"/>
      <c r="AJ29" s="1409"/>
      <c r="AK29" s="1409"/>
      <c r="AL29" s="1409"/>
      <c r="AM29" s="1409"/>
      <c r="AN29" s="1511"/>
      <c r="AO29" s="1510">
        <v>0.4695358</v>
      </c>
      <c r="AP29" s="1510"/>
      <c r="AQ29" s="1510"/>
      <c r="AR29" s="1510"/>
      <c r="AS29" s="1501">
        <f t="shared" si="1"/>
        <v>0.4695358</v>
      </c>
      <c r="AT29" s="1514"/>
      <c r="AU29" s="1514"/>
      <c r="AV29" s="1514"/>
      <c r="AW29" s="1409"/>
      <c r="AX29" s="1409"/>
      <c r="AY29" s="1409"/>
      <c r="AZ29" s="1409"/>
      <c r="BA29" s="1511"/>
      <c r="BB29" s="1409"/>
      <c r="BC29" s="1515"/>
      <c r="BD29" s="1516" t="s">
        <v>943</v>
      </c>
    </row>
    <row r="30" spans="1:58" outlineLevel="1" x14ac:dyDescent="0.45">
      <c r="A30" s="1416">
        <v>3.6</v>
      </c>
      <c r="B30" s="1412" t="s">
        <v>972</v>
      </c>
      <c r="C30" s="1517" t="s">
        <v>938</v>
      </c>
      <c r="D30" s="1517" t="str">
        <f t="shared" si="7"/>
        <v>MERC/CAPEX/20122013/00912</v>
      </c>
      <c r="E30" s="1518">
        <f t="shared" si="7"/>
        <v>40980</v>
      </c>
      <c r="F30" s="1508">
        <f t="shared" si="6"/>
        <v>41114</v>
      </c>
      <c r="G30" s="1285">
        <v>2.5038</v>
      </c>
      <c r="H30" s="1285">
        <v>2.5038</v>
      </c>
      <c r="I30" s="539"/>
      <c r="J30" s="539"/>
      <c r="K30" s="1454">
        <f t="shared" si="0"/>
        <v>41114</v>
      </c>
      <c r="L30" s="1287"/>
      <c r="M30" s="1286">
        <v>41844</v>
      </c>
      <c r="N30" s="1287"/>
      <c r="O30" s="1519"/>
      <c r="P30" s="1510">
        <v>0</v>
      </c>
      <c r="Q30" s="1510"/>
      <c r="R30" s="1510"/>
      <c r="S30" s="1510"/>
      <c r="T30" s="1510">
        <f t="shared" si="3"/>
        <v>0</v>
      </c>
      <c r="U30" s="1409"/>
      <c r="V30" s="1409"/>
      <c r="W30" s="1409"/>
      <c r="X30" s="1409"/>
      <c r="Y30" s="1409"/>
      <c r="Z30" s="1409"/>
      <c r="AA30" s="1409"/>
      <c r="AB30" s="1511"/>
      <c r="AC30" s="1512"/>
      <c r="AD30" s="1512"/>
      <c r="AE30" s="1512"/>
      <c r="AF30" s="1512"/>
      <c r="AG30" s="1513"/>
      <c r="AH30" s="1513"/>
      <c r="AI30" s="1513"/>
      <c r="AJ30" s="1409"/>
      <c r="AK30" s="1409"/>
      <c r="AL30" s="1409"/>
      <c r="AM30" s="1409"/>
      <c r="AN30" s="1511"/>
      <c r="AO30" s="1510">
        <v>0</v>
      </c>
      <c r="AP30" s="1510"/>
      <c r="AQ30" s="1510"/>
      <c r="AR30" s="1510"/>
      <c r="AS30" s="1501">
        <f t="shared" si="1"/>
        <v>0</v>
      </c>
      <c r="AT30" s="1514"/>
      <c r="AU30" s="1514"/>
      <c r="AV30" s="1514"/>
      <c r="AW30" s="1409"/>
      <c r="AX30" s="1409"/>
      <c r="AY30" s="1409"/>
      <c r="AZ30" s="1409"/>
      <c r="BA30" s="1511"/>
      <c r="BB30" s="1409"/>
      <c r="BC30" s="1515"/>
      <c r="BD30" s="1516" t="s">
        <v>946</v>
      </c>
    </row>
    <row r="31" spans="1:58" outlineLevel="1" x14ac:dyDescent="0.45">
      <c r="A31" s="1416">
        <v>3.7</v>
      </c>
      <c r="B31" s="1412" t="s">
        <v>973</v>
      </c>
      <c r="C31" s="1517" t="s">
        <v>938</v>
      </c>
      <c r="D31" s="1517" t="str">
        <f t="shared" si="7"/>
        <v>MERC/CAPEX/20122013/00912</v>
      </c>
      <c r="E31" s="1518">
        <f t="shared" si="7"/>
        <v>40980</v>
      </c>
      <c r="F31" s="1508">
        <f t="shared" si="6"/>
        <v>41114</v>
      </c>
      <c r="G31" s="1285">
        <v>9.7000000000000003E-2</v>
      </c>
      <c r="H31" s="1285">
        <v>9.7000000000000003E-2</v>
      </c>
      <c r="I31" s="539"/>
      <c r="J31" s="539"/>
      <c r="K31" s="1454">
        <f t="shared" si="0"/>
        <v>41114</v>
      </c>
      <c r="L31" s="1287"/>
      <c r="M31" s="1286">
        <v>41844</v>
      </c>
      <c r="N31" s="1287"/>
      <c r="O31" s="1519"/>
      <c r="P31" s="1510">
        <v>0</v>
      </c>
      <c r="Q31" s="1510"/>
      <c r="R31" s="1510"/>
      <c r="S31" s="1510"/>
      <c r="T31" s="1510">
        <f t="shared" si="3"/>
        <v>0</v>
      </c>
      <c r="U31" s="1409"/>
      <c r="V31" s="1409"/>
      <c r="W31" s="1409"/>
      <c r="X31" s="1409"/>
      <c r="Y31" s="1409"/>
      <c r="Z31" s="1409"/>
      <c r="AA31" s="1409"/>
      <c r="AB31" s="1511"/>
      <c r="AC31" s="1512"/>
      <c r="AD31" s="1512"/>
      <c r="AE31" s="1512"/>
      <c r="AF31" s="1512"/>
      <c r="AG31" s="1513"/>
      <c r="AH31" s="1513"/>
      <c r="AI31" s="1513"/>
      <c r="AJ31" s="1409"/>
      <c r="AK31" s="1409"/>
      <c r="AL31" s="1409"/>
      <c r="AM31" s="1409"/>
      <c r="AN31" s="1511"/>
      <c r="AO31" s="1510">
        <v>0</v>
      </c>
      <c r="AP31" s="1510"/>
      <c r="AQ31" s="1510"/>
      <c r="AR31" s="1510"/>
      <c r="AS31" s="1501">
        <f t="shared" si="1"/>
        <v>0</v>
      </c>
      <c r="AT31" s="1514"/>
      <c r="AU31" s="1514"/>
      <c r="AV31" s="1514"/>
      <c r="AW31" s="1409"/>
      <c r="AX31" s="1409"/>
      <c r="AY31" s="1409"/>
      <c r="AZ31" s="1409"/>
      <c r="BA31" s="1511"/>
      <c r="BB31" s="1409"/>
      <c r="BC31" s="1515"/>
      <c r="BD31" s="1516" t="s">
        <v>946</v>
      </c>
    </row>
    <row r="32" spans="1:58" ht="31" outlineLevel="1" x14ac:dyDescent="0.45">
      <c r="A32" s="1416">
        <v>3.8</v>
      </c>
      <c r="B32" s="1412" t="s">
        <v>974</v>
      </c>
      <c r="C32" s="1517" t="s">
        <v>938</v>
      </c>
      <c r="D32" s="1517" t="str">
        <f t="shared" si="7"/>
        <v>MERC/CAPEX/20122013/00912</v>
      </c>
      <c r="E32" s="1518">
        <f t="shared" si="7"/>
        <v>40980</v>
      </c>
      <c r="F32" s="1508">
        <f t="shared" si="6"/>
        <v>41114</v>
      </c>
      <c r="G32" s="1285">
        <v>7.6508000000000003</v>
      </c>
      <c r="H32" s="1285">
        <v>7.6508000000000003</v>
      </c>
      <c r="I32" s="539"/>
      <c r="J32" s="539"/>
      <c r="K32" s="1454">
        <f t="shared" si="0"/>
        <v>41114</v>
      </c>
      <c r="L32" s="1287"/>
      <c r="M32" s="1286">
        <v>41844</v>
      </c>
      <c r="N32" s="1287"/>
      <c r="O32" s="1519"/>
      <c r="P32" s="1510">
        <v>0</v>
      </c>
      <c r="Q32" s="1510"/>
      <c r="R32" s="1510"/>
      <c r="S32" s="1510"/>
      <c r="T32" s="1510">
        <f t="shared" si="3"/>
        <v>0</v>
      </c>
      <c r="U32" s="1409"/>
      <c r="V32" s="1409"/>
      <c r="W32" s="1409"/>
      <c r="X32" s="1409"/>
      <c r="Y32" s="1409"/>
      <c r="Z32" s="1409"/>
      <c r="AA32" s="1409"/>
      <c r="AB32" s="1511"/>
      <c r="AC32" s="1512"/>
      <c r="AD32" s="1512"/>
      <c r="AE32" s="1512"/>
      <c r="AF32" s="1512"/>
      <c r="AG32" s="1513"/>
      <c r="AH32" s="1513"/>
      <c r="AI32" s="1513"/>
      <c r="AJ32" s="1409"/>
      <c r="AK32" s="1409"/>
      <c r="AL32" s="1409"/>
      <c r="AM32" s="1409"/>
      <c r="AN32" s="1511"/>
      <c r="AO32" s="1510">
        <v>0</v>
      </c>
      <c r="AP32" s="1510"/>
      <c r="AQ32" s="1510"/>
      <c r="AR32" s="1510"/>
      <c r="AS32" s="1501">
        <f t="shared" si="1"/>
        <v>0</v>
      </c>
      <c r="AT32" s="1514"/>
      <c r="AU32" s="1514"/>
      <c r="AV32" s="1514"/>
      <c r="AW32" s="1409"/>
      <c r="AX32" s="1409"/>
      <c r="AY32" s="1409"/>
      <c r="AZ32" s="1409"/>
      <c r="BA32" s="1511"/>
      <c r="BB32" s="1409"/>
      <c r="BC32" s="1515"/>
      <c r="BD32" s="1516" t="s">
        <v>946</v>
      </c>
    </row>
    <row r="33" spans="1:58" ht="77.5" outlineLevel="1" x14ac:dyDescent="0.45">
      <c r="A33" s="1416">
        <v>3.9</v>
      </c>
      <c r="B33" s="1412" t="s">
        <v>975</v>
      </c>
      <c r="C33" s="1517" t="s">
        <v>938</v>
      </c>
      <c r="D33" s="1517" t="str">
        <f t="shared" si="7"/>
        <v>MERC/CAPEX/20122013/00912</v>
      </c>
      <c r="E33" s="1518">
        <f t="shared" si="7"/>
        <v>40980</v>
      </c>
      <c r="F33" s="1508">
        <f t="shared" si="6"/>
        <v>41114</v>
      </c>
      <c r="G33" s="1285">
        <v>0.29680000000000001</v>
      </c>
      <c r="H33" s="1285">
        <v>0.29680000000000001</v>
      </c>
      <c r="I33" s="539"/>
      <c r="J33" s="539"/>
      <c r="K33" s="1454">
        <f t="shared" si="0"/>
        <v>41114</v>
      </c>
      <c r="L33" s="1287"/>
      <c r="M33" s="1286">
        <v>41844</v>
      </c>
      <c r="N33" s="1287"/>
      <c r="O33" s="1519"/>
      <c r="P33" s="1510">
        <v>0</v>
      </c>
      <c r="Q33" s="1510"/>
      <c r="R33" s="1510"/>
      <c r="S33" s="1510"/>
      <c r="T33" s="1510">
        <f t="shared" si="3"/>
        <v>0</v>
      </c>
      <c r="U33" s="1409"/>
      <c r="V33" s="1409"/>
      <c r="W33" s="1409"/>
      <c r="X33" s="1409"/>
      <c r="Y33" s="1409"/>
      <c r="Z33" s="1409"/>
      <c r="AA33" s="1409"/>
      <c r="AB33" s="1511"/>
      <c r="AC33" s="1512"/>
      <c r="AD33" s="1512"/>
      <c r="AE33" s="1512"/>
      <c r="AF33" s="1512"/>
      <c r="AG33" s="1513"/>
      <c r="AH33" s="1513"/>
      <c r="AI33" s="1513"/>
      <c r="AJ33" s="1409"/>
      <c r="AK33" s="1409"/>
      <c r="AL33" s="1409"/>
      <c r="AM33" s="1409"/>
      <c r="AN33" s="1511"/>
      <c r="AO33" s="1510">
        <v>0</v>
      </c>
      <c r="AP33" s="1510"/>
      <c r="AQ33" s="1510"/>
      <c r="AR33" s="1510"/>
      <c r="AS33" s="1501">
        <f t="shared" si="1"/>
        <v>0</v>
      </c>
      <c r="AT33" s="1514"/>
      <c r="AU33" s="1514"/>
      <c r="AV33" s="1514"/>
      <c r="AW33" s="1409"/>
      <c r="AX33" s="1409"/>
      <c r="AY33" s="1409"/>
      <c r="AZ33" s="1409"/>
      <c r="BA33" s="1511"/>
      <c r="BB33" s="1409"/>
      <c r="BC33" s="1515"/>
      <c r="BD33" s="1506" t="s">
        <v>946</v>
      </c>
    </row>
    <row r="34" spans="1:58" ht="31" outlineLevel="1" x14ac:dyDescent="0.45">
      <c r="A34" s="1418">
        <v>3.1</v>
      </c>
      <c r="B34" s="1412" t="s">
        <v>976</v>
      </c>
      <c r="C34" s="1517" t="s">
        <v>938</v>
      </c>
      <c r="D34" s="1517" t="str">
        <f t="shared" si="7"/>
        <v>MERC/CAPEX/20122013/00912</v>
      </c>
      <c r="E34" s="1518">
        <f t="shared" si="7"/>
        <v>40980</v>
      </c>
      <c r="F34" s="1508">
        <f t="shared" si="6"/>
        <v>41114</v>
      </c>
      <c r="G34" s="1285">
        <v>0.9607</v>
      </c>
      <c r="H34" s="1285">
        <v>0.9607</v>
      </c>
      <c r="I34" s="539"/>
      <c r="J34" s="539"/>
      <c r="K34" s="1454">
        <f t="shared" si="0"/>
        <v>41114</v>
      </c>
      <c r="L34" s="1286">
        <v>41114</v>
      </c>
      <c r="M34" s="1286">
        <v>41844</v>
      </c>
      <c r="N34" s="1286">
        <v>41364</v>
      </c>
      <c r="O34" s="1520" t="s">
        <v>977</v>
      </c>
      <c r="P34" s="1521">
        <v>0.9607</v>
      </c>
      <c r="Q34" s="1510"/>
      <c r="R34" s="1510"/>
      <c r="S34" s="1510"/>
      <c r="T34" s="1510">
        <f t="shared" si="3"/>
        <v>0.9607</v>
      </c>
      <c r="U34" s="1409"/>
      <c r="V34" s="1409"/>
      <c r="W34" s="1409"/>
      <c r="X34" s="1409"/>
      <c r="Y34" s="1409"/>
      <c r="Z34" s="1409"/>
      <c r="AA34" s="1409"/>
      <c r="AB34" s="1511"/>
      <c r="AC34" s="1512">
        <v>1</v>
      </c>
      <c r="AD34" s="1512"/>
      <c r="AE34" s="1512"/>
      <c r="AF34" s="1512"/>
      <c r="AG34" s="1513"/>
      <c r="AH34" s="1513"/>
      <c r="AI34" s="1513"/>
      <c r="AJ34" s="1409"/>
      <c r="AK34" s="1409"/>
      <c r="AL34" s="1409"/>
      <c r="AM34" s="1409"/>
      <c r="AN34" s="1511"/>
      <c r="AO34" s="1521">
        <v>0.9607</v>
      </c>
      <c r="AP34" s="1510"/>
      <c r="AQ34" s="1510"/>
      <c r="AR34" s="1510"/>
      <c r="AS34" s="1501">
        <f t="shared" si="1"/>
        <v>0.9607</v>
      </c>
      <c r="AT34" s="1514"/>
      <c r="AU34" s="1514"/>
      <c r="AV34" s="1514"/>
      <c r="AW34" s="1409"/>
      <c r="AX34" s="1409"/>
      <c r="AY34" s="1409"/>
      <c r="AZ34" s="1409"/>
      <c r="BA34" s="1511"/>
      <c r="BB34" s="1409"/>
      <c r="BC34" s="1515"/>
      <c r="BD34" s="1516" t="s">
        <v>943</v>
      </c>
    </row>
    <row r="35" spans="1:58" ht="46.5" outlineLevel="1" x14ac:dyDescent="0.45">
      <c r="A35" s="1416">
        <v>3.11</v>
      </c>
      <c r="B35" s="1412" t="s">
        <v>978</v>
      </c>
      <c r="C35" s="1517" t="s">
        <v>938</v>
      </c>
      <c r="D35" s="1517" t="str">
        <f t="shared" si="7"/>
        <v>MERC/CAPEX/20122013/00912</v>
      </c>
      <c r="E35" s="1518">
        <f t="shared" si="7"/>
        <v>40980</v>
      </c>
      <c r="F35" s="1508">
        <f t="shared" si="6"/>
        <v>41114</v>
      </c>
      <c r="G35" s="1285">
        <v>0.63617000000000001</v>
      </c>
      <c r="H35" s="1285">
        <v>0.63617000000000001</v>
      </c>
      <c r="I35" s="539"/>
      <c r="J35" s="539"/>
      <c r="K35" s="1454">
        <f t="shared" si="0"/>
        <v>41114</v>
      </c>
      <c r="L35" s="1287"/>
      <c r="M35" s="1286">
        <v>41844</v>
      </c>
      <c r="N35" s="1287"/>
      <c r="O35" s="1519"/>
      <c r="P35" s="1510">
        <v>0</v>
      </c>
      <c r="Q35" s="1510"/>
      <c r="R35" s="1510"/>
      <c r="S35" s="1510"/>
      <c r="T35" s="1510">
        <f t="shared" si="3"/>
        <v>0</v>
      </c>
      <c r="U35" s="1409"/>
      <c r="V35" s="1409"/>
      <c r="W35" s="1409"/>
      <c r="X35" s="1409"/>
      <c r="Y35" s="1409"/>
      <c r="Z35" s="1409"/>
      <c r="AA35" s="1409"/>
      <c r="AB35" s="1511"/>
      <c r="AC35" s="1512"/>
      <c r="AD35" s="1512"/>
      <c r="AE35" s="1512"/>
      <c r="AF35" s="1512"/>
      <c r="AG35" s="1513"/>
      <c r="AH35" s="1513"/>
      <c r="AI35" s="1513"/>
      <c r="AJ35" s="1409"/>
      <c r="AK35" s="1409"/>
      <c r="AL35" s="1409"/>
      <c r="AM35" s="1409"/>
      <c r="AN35" s="1511"/>
      <c r="AO35" s="1510">
        <v>0</v>
      </c>
      <c r="AP35" s="1510"/>
      <c r="AQ35" s="1510"/>
      <c r="AR35" s="1510"/>
      <c r="AS35" s="1501">
        <f t="shared" si="1"/>
        <v>0</v>
      </c>
      <c r="AT35" s="1514"/>
      <c r="AU35" s="1514"/>
      <c r="AV35" s="1514"/>
      <c r="AW35" s="1409"/>
      <c r="AX35" s="1409"/>
      <c r="AY35" s="1409"/>
      <c r="AZ35" s="1409"/>
      <c r="BA35" s="1511"/>
      <c r="BB35" s="1409"/>
      <c r="BC35" s="1515"/>
      <c r="BD35" s="1516" t="s">
        <v>946</v>
      </c>
    </row>
    <row r="36" spans="1:58" outlineLevel="1" x14ac:dyDescent="0.45">
      <c r="A36" s="1416">
        <v>3.12</v>
      </c>
      <c r="B36" s="1412" t="s">
        <v>979</v>
      </c>
      <c r="C36" s="1517" t="s">
        <v>938</v>
      </c>
      <c r="D36" s="1517" t="str">
        <f t="shared" si="7"/>
        <v>MERC/CAPEX/20122013/00912</v>
      </c>
      <c r="E36" s="1518">
        <f t="shared" si="7"/>
        <v>40980</v>
      </c>
      <c r="F36" s="1508">
        <f t="shared" si="6"/>
        <v>41114</v>
      </c>
      <c r="G36" s="1285">
        <v>0.44012000000000001</v>
      </c>
      <c r="H36" s="1285">
        <v>0.44012000000000001</v>
      </c>
      <c r="I36" s="539"/>
      <c r="J36" s="539"/>
      <c r="K36" s="1454">
        <f t="shared" si="0"/>
        <v>41114</v>
      </c>
      <c r="L36" s="1286">
        <v>41561</v>
      </c>
      <c r="M36" s="1286">
        <v>41844</v>
      </c>
      <c r="N36" s="1286">
        <v>41736</v>
      </c>
      <c r="O36" s="1519" t="s">
        <v>980</v>
      </c>
      <c r="P36" s="1510">
        <v>0.19</v>
      </c>
      <c r="Q36" s="1510"/>
      <c r="R36" s="1510"/>
      <c r="S36" s="1510"/>
      <c r="T36" s="1510">
        <f t="shared" si="3"/>
        <v>0.19</v>
      </c>
      <c r="U36" s="1409"/>
      <c r="V36" s="1409"/>
      <c r="W36" s="1409"/>
      <c r="X36" s="1409"/>
      <c r="Y36" s="1409"/>
      <c r="Z36" s="1409"/>
      <c r="AA36" s="1409"/>
      <c r="AB36" s="1511"/>
      <c r="AC36" s="1512">
        <v>1</v>
      </c>
      <c r="AD36" s="1512"/>
      <c r="AE36" s="1512"/>
      <c r="AF36" s="1512"/>
      <c r="AG36" s="1513"/>
      <c r="AH36" s="1513"/>
      <c r="AI36" s="1513"/>
      <c r="AJ36" s="1409"/>
      <c r="AK36" s="1409"/>
      <c r="AL36" s="1409"/>
      <c r="AM36" s="1409"/>
      <c r="AN36" s="1511"/>
      <c r="AO36" s="1510">
        <v>0.19</v>
      </c>
      <c r="AP36" s="1510"/>
      <c r="AQ36" s="1510"/>
      <c r="AR36" s="1510"/>
      <c r="AS36" s="1501">
        <f t="shared" si="1"/>
        <v>0.19</v>
      </c>
      <c r="AT36" s="1514"/>
      <c r="AU36" s="1514"/>
      <c r="AV36" s="1514"/>
      <c r="AW36" s="1409"/>
      <c r="AX36" s="1409"/>
      <c r="AY36" s="1409"/>
      <c r="AZ36" s="1409"/>
      <c r="BA36" s="1511"/>
      <c r="BB36" s="1409"/>
      <c r="BC36" s="1515"/>
      <c r="BD36" s="1516" t="s">
        <v>943</v>
      </c>
    </row>
    <row r="37" spans="1:58" ht="31" outlineLevel="1" x14ac:dyDescent="0.45">
      <c r="A37" s="1416">
        <v>3.13</v>
      </c>
      <c r="B37" s="1412" t="s">
        <v>981</v>
      </c>
      <c r="C37" s="1517" t="s">
        <v>938</v>
      </c>
      <c r="D37" s="1517" t="str">
        <f t="shared" si="7"/>
        <v>MERC/CAPEX/20122013/00912</v>
      </c>
      <c r="E37" s="1518">
        <f t="shared" si="7"/>
        <v>40980</v>
      </c>
      <c r="F37" s="1508">
        <f t="shared" si="6"/>
        <v>41114</v>
      </c>
      <c r="G37" s="1285">
        <v>0.53213999999999995</v>
      </c>
      <c r="H37" s="1285">
        <v>0.53213999999999995</v>
      </c>
      <c r="I37" s="539"/>
      <c r="J37" s="539"/>
      <c r="K37" s="1454">
        <f t="shared" si="0"/>
        <v>41114</v>
      </c>
      <c r="L37" s="1287"/>
      <c r="M37" s="1286">
        <v>41844</v>
      </c>
      <c r="N37" s="1287"/>
      <c r="O37" s="1519"/>
      <c r="P37" s="1510">
        <v>0</v>
      </c>
      <c r="Q37" s="1510"/>
      <c r="R37" s="1510"/>
      <c r="S37" s="1510"/>
      <c r="T37" s="1510">
        <f t="shared" si="3"/>
        <v>0</v>
      </c>
      <c r="U37" s="1409"/>
      <c r="V37" s="1409"/>
      <c r="W37" s="1409"/>
      <c r="X37" s="1409"/>
      <c r="Y37" s="1409"/>
      <c r="Z37" s="1409"/>
      <c r="AA37" s="1409"/>
      <c r="AB37" s="1511"/>
      <c r="AC37" s="1512"/>
      <c r="AD37" s="1512"/>
      <c r="AE37" s="1512"/>
      <c r="AF37" s="1512"/>
      <c r="AG37" s="1513"/>
      <c r="AH37" s="1513"/>
      <c r="AI37" s="1513"/>
      <c r="AJ37" s="1409"/>
      <c r="AK37" s="1409"/>
      <c r="AL37" s="1409"/>
      <c r="AM37" s="1409"/>
      <c r="AN37" s="1511"/>
      <c r="AO37" s="1510">
        <v>0</v>
      </c>
      <c r="AP37" s="1510"/>
      <c r="AQ37" s="1510"/>
      <c r="AR37" s="1510"/>
      <c r="AS37" s="1501">
        <f t="shared" si="1"/>
        <v>0</v>
      </c>
      <c r="AT37" s="1514"/>
      <c r="AU37" s="1514"/>
      <c r="AV37" s="1514"/>
      <c r="AW37" s="1409"/>
      <c r="AX37" s="1409"/>
      <c r="AY37" s="1409"/>
      <c r="AZ37" s="1409"/>
      <c r="BA37" s="1511"/>
      <c r="BB37" s="1409"/>
      <c r="BC37" s="1515"/>
      <c r="BD37" s="1516" t="s">
        <v>936</v>
      </c>
    </row>
    <row r="38" spans="1:58" outlineLevel="1" x14ac:dyDescent="0.45">
      <c r="A38" s="1406"/>
      <c r="B38" s="1412" t="s">
        <v>414</v>
      </c>
      <c r="C38" s="1517" t="s">
        <v>414</v>
      </c>
      <c r="D38" s="1517" t="str">
        <f t="shared" si="7"/>
        <v>MERC/CAPEX/20122013/00912</v>
      </c>
      <c r="E38" s="1518">
        <f t="shared" si="7"/>
        <v>40980</v>
      </c>
      <c r="F38" s="1508">
        <f t="shared" si="6"/>
        <v>41114</v>
      </c>
      <c r="G38" s="1285">
        <v>5.27</v>
      </c>
      <c r="H38" s="1285">
        <v>5.27</v>
      </c>
      <c r="I38" s="539"/>
      <c r="J38" s="539"/>
      <c r="K38" s="1454">
        <f t="shared" si="0"/>
        <v>41114</v>
      </c>
      <c r="L38" s="1287"/>
      <c r="M38" s="1287"/>
      <c r="N38" s="1287"/>
      <c r="O38" s="1519"/>
      <c r="P38" s="1510">
        <v>0</v>
      </c>
      <c r="Q38" s="1510"/>
      <c r="R38" s="1510"/>
      <c r="S38" s="1510"/>
      <c r="T38" s="1510">
        <f t="shared" si="3"/>
        <v>0</v>
      </c>
      <c r="U38" s="1409"/>
      <c r="V38" s="1409"/>
      <c r="W38" s="1409"/>
      <c r="X38" s="1409"/>
      <c r="Y38" s="1409"/>
      <c r="Z38" s="1409"/>
      <c r="AA38" s="1409"/>
      <c r="AB38" s="1511"/>
      <c r="AC38" s="1512"/>
      <c r="AD38" s="1512"/>
      <c r="AE38" s="1512"/>
      <c r="AF38" s="1512"/>
      <c r="AG38" s="1513"/>
      <c r="AH38" s="1513"/>
      <c r="AI38" s="1513"/>
      <c r="AJ38" s="1409"/>
      <c r="AK38" s="1409"/>
      <c r="AL38" s="1409"/>
      <c r="AM38" s="1409"/>
      <c r="AN38" s="1511"/>
      <c r="AO38" s="1510">
        <v>0</v>
      </c>
      <c r="AP38" s="1510"/>
      <c r="AQ38" s="1510"/>
      <c r="AR38" s="1510"/>
      <c r="AS38" s="1501">
        <f t="shared" si="1"/>
        <v>0</v>
      </c>
      <c r="AT38" s="1514"/>
      <c r="AU38" s="1514"/>
      <c r="AV38" s="1514"/>
      <c r="AW38" s="1409"/>
      <c r="AX38" s="1409"/>
      <c r="AY38" s="1409"/>
      <c r="AZ38" s="1409"/>
      <c r="BA38" s="1511"/>
      <c r="BB38" s="1409"/>
      <c r="BC38" s="1515"/>
      <c r="BD38" s="1506" t="s">
        <v>935</v>
      </c>
    </row>
    <row r="39" spans="1:58" s="91" customFormat="1" ht="18.5" outlineLevel="1" x14ac:dyDescent="0.3">
      <c r="A39" s="1406">
        <v>4</v>
      </c>
      <c r="B39" s="1407" t="s">
        <v>982</v>
      </c>
      <c r="C39" s="1498" t="s">
        <v>930</v>
      </c>
      <c r="D39" s="1498" t="s">
        <v>983</v>
      </c>
      <c r="E39" s="1499">
        <v>41040</v>
      </c>
      <c r="F39" s="1499">
        <v>41281</v>
      </c>
      <c r="G39" s="1283">
        <f>SUM(G40:G42)</f>
        <v>20.108999999999998</v>
      </c>
      <c r="H39" s="1283">
        <f>SUM(H40:H42)</f>
        <v>20.108999999999998</v>
      </c>
      <c r="I39" s="538"/>
      <c r="J39" s="538"/>
      <c r="K39" s="1451">
        <f t="shared" si="0"/>
        <v>41281</v>
      </c>
      <c r="L39" s="1284"/>
      <c r="M39" s="1284"/>
      <c r="N39" s="1284"/>
      <c r="O39" s="1500"/>
      <c r="P39" s="1501"/>
      <c r="Q39" s="1501"/>
      <c r="R39" s="1501"/>
      <c r="S39" s="1501"/>
      <c r="T39" s="1510">
        <f t="shared" si="3"/>
        <v>0</v>
      </c>
      <c r="U39" s="1452"/>
      <c r="V39" s="1452"/>
      <c r="W39" s="1452"/>
      <c r="X39" s="1452"/>
      <c r="Y39" s="1452"/>
      <c r="Z39" s="1452"/>
      <c r="AA39" s="1452"/>
      <c r="AB39" s="1502"/>
      <c r="AC39" s="1503"/>
      <c r="AD39" s="1503"/>
      <c r="AE39" s="1503"/>
      <c r="AF39" s="1503"/>
      <c r="AG39" s="1504"/>
      <c r="AH39" s="1504"/>
      <c r="AI39" s="1504"/>
      <c r="AJ39" s="1452"/>
      <c r="AK39" s="1452"/>
      <c r="AL39" s="1452"/>
      <c r="AM39" s="1452"/>
      <c r="AN39" s="1502"/>
      <c r="AO39" s="1501"/>
      <c r="AP39" s="1501"/>
      <c r="AQ39" s="1501"/>
      <c r="AR39" s="1501"/>
      <c r="AS39" s="1501">
        <f t="shared" si="1"/>
        <v>0</v>
      </c>
      <c r="AT39" s="1505"/>
      <c r="AU39" s="1505"/>
      <c r="AV39" s="1505"/>
      <c r="AW39" s="1452"/>
      <c r="AX39" s="1452"/>
      <c r="AY39" s="1452"/>
      <c r="AZ39" s="1452"/>
      <c r="BA39" s="1502"/>
      <c r="BB39" s="1452"/>
      <c r="BC39" s="1500"/>
      <c r="BD39" s="1506" t="s">
        <v>935</v>
      </c>
      <c r="BE39" s="1477"/>
      <c r="BF39" s="1491"/>
    </row>
    <row r="40" spans="1:58" ht="85.5" outlineLevel="1" x14ac:dyDescent="0.45">
      <c r="A40" s="1416">
        <v>4.0999999999999996</v>
      </c>
      <c r="B40" s="1412" t="s">
        <v>984</v>
      </c>
      <c r="C40" s="1517" t="s">
        <v>938</v>
      </c>
      <c r="D40" s="1517" t="str">
        <f>D39</f>
        <v>MERC/CAPEX/20122013/02107</v>
      </c>
      <c r="E40" s="1518">
        <f>E39</f>
        <v>41040</v>
      </c>
      <c r="F40" s="1508">
        <f t="shared" ref="F40:F42" si="8">IF(F39=0,"-",F39)</f>
        <v>41281</v>
      </c>
      <c r="G40" s="1285">
        <v>17.47</v>
      </c>
      <c r="H40" s="1285">
        <v>17.47</v>
      </c>
      <c r="I40" s="539"/>
      <c r="J40" s="539"/>
      <c r="K40" s="1454">
        <f t="shared" si="0"/>
        <v>41281</v>
      </c>
      <c r="L40" s="1286">
        <v>42244</v>
      </c>
      <c r="M40" s="1286">
        <v>41646</v>
      </c>
      <c r="N40" s="1286">
        <v>42444</v>
      </c>
      <c r="O40" s="1509" t="s">
        <v>985</v>
      </c>
      <c r="P40" s="1510">
        <v>8.6041116000000013</v>
      </c>
      <c r="Q40" s="1510">
        <v>0</v>
      </c>
      <c r="R40" s="1510">
        <v>0</v>
      </c>
      <c r="S40" s="1510">
        <v>5.1572199999999999E-2</v>
      </c>
      <c r="T40" s="1510">
        <f t="shared" si="3"/>
        <v>8.655683800000002</v>
      </c>
      <c r="U40" s="1409"/>
      <c r="V40" s="1409"/>
      <c r="W40" s="1409"/>
      <c r="X40" s="1409"/>
      <c r="Y40" s="1409"/>
      <c r="Z40" s="1409"/>
      <c r="AA40" s="1409"/>
      <c r="AB40" s="1511"/>
      <c r="AC40" s="1512">
        <v>1</v>
      </c>
      <c r="AD40" s="1512"/>
      <c r="AE40" s="1512"/>
      <c r="AF40" s="1512"/>
      <c r="AG40" s="1513"/>
      <c r="AH40" s="1513"/>
      <c r="AI40" s="1513"/>
      <c r="AJ40" s="1409"/>
      <c r="AK40" s="1409"/>
      <c r="AL40" s="1409"/>
      <c r="AM40" s="1409"/>
      <c r="AN40" s="1511"/>
      <c r="AO40" s="1510">
        <v>8.6041116000000013</v>
      </c>
      <c r="AP40" s="1510">
        <v>0</v>
      </c>
      <c r="AQ40" s="1510">
        <v>0</v>
      </c>
      <c r="AR40" s="1510">
        <f>(257861/10^7)*2</f>
        <v>5.1572199999999999E-2</v>
      </c>
      <c r="AS40" s="1501">
        <f t="shared" si="1"/>
        <v>8.655683800000002</v>
      </c>
      <c r="AT40" s="1514"/>
      <c r="AU40" s="1514"/>
      <c r="AV40" s="1514"/>
      <c r="AW40" s="1409"/>
      <c r="AX40" s="1409"/>
      <c r="AY40" s="1409"/>
      <c r="AZ40" s="1409"/>
      <c r="BA40" s="1511"/>
      <c r="BB40" s="1409"/>
      <c r="BC40" s="1509" t="s">
        <v>986</v>
      </c>
      <c r="BD40" s="1516" t="s">
        <v>943</v>
      </c>
    </row>
    <row r="41" spans="1:58" ht="85.5" outlineLevel="1" x14ac:dyDescent="0.45">
      <c r="A41" s="1416">
        <v>4.2</v>
      </c>
      <c r="B41" s="1412" t="s">
        <v>987</v>
      </c>
      <c r="C41" s="1517" t="s">
        <v>938</v>
      </c>
      <c r="D41" s="1517" t="str">
        <f t="shared" ref="D41:E42" si="9">D40</f>
        <v>MERC/CAPEX/20122013/02107</v>
      </c>
      <c r="E41" s="1518">
        <f t="shared" si="9"/>
        <v>41040</v>
      </c>
      <c r="F41" s="1508">
        <f t="shared" si="8"/>
        <v>41281</v>
      </c>
      <c r="G41" s="1285">
        <v>1.0289999999999999</v>
      </c>
      <c r="H41" s="1285">
        <v>1.0289999999999999</v>
      </c>
      <c r="I41" s="539"/>
      <c r="J41" s="539"/>
      <c r="K41" s="1454">
        <f t="shared" si="0"/>
        <v>41281</v>
      </c>
      <c r="L41" s="1287"/>
      <c r="M41" s="1286">
        <v>41646</v>
      </c>
      <c r="N41" s="1287"/>
      <c r="O41" s="1509" t="s">
        <v>985</v>
      </c>
      <c r="P41" s="1510">
        <v>0.30159950000000002</v>
      </c>
      <c r="Q41" s="1510"/>
      <c r="R41" s="1510"/>
      <c r="S41" s="1510"/>
      <c r="T41" s="1510">
        <f t="shared" si="3"/>
        <v>0.30159950000000002</v>
      </c>
      <c r="U41" s="1409"/>
      <c r="V41" s="1409"/>
      <c r="W41" s="1409"/>
      <c r="X41" s="1409"/>
      <c r="Y41" s="1409"/>
      <c r="Z41" s="1409"/>
      <c r="AA41" s="1409"/>
      <c r="AB41" s="1511"/>
      <c r="AC41" s="1512">
        <v>1</v>
      </c>
      <c r="AD41" s="1512"/>
      <c r="AE41" s="1512"/>
      <c r="AF41" s="1512"/>
      <c r="AG41" s="1513"/>
      <c r="AH41" s="1513"/>
      <c r="AI41" s="1513"/>
      <c r="AJ41" s="1409"/>
      <c r="AK41" s="1409"/>
      <c r="AL41" s="1409"/>
      <c r="AM41" s="1409"/>
      <c r="AN41" s="1511"/>
      <c r="AO41" s="1510">
        <v>0.30159950000000002</v>
      </c>
      <c r="AP41" s="1510"/>
      <c r="AQ41" s="1510"/>
      <c r="AR41" s="1510"/>
      <c r="AS41" s="1501">
        <f t="shared" si="1"/>
        <v>0.30159950000000002</v>
      </c>
      <c r="AT41" s="1514"/>
      <c r="AU41" s="1514"/>
      <c r="AV41" s="1514"/>
      <c r="AW41" s="1409"/>
      <c r="AX41" s="1409"/>
      <c r="AY41" s="1409"/>
      <c r="AZ41" s="1409"/>
      <c r="BA41" s="1511"/>
      <c r="BB41" s="1409"/>
      <c r="BC41" s="1509" t="s">
        <v>988</v>
      </c>
      <c r="BD41" s="1506" t="s">
        <v>943</v>
      </c>
    </row>
    <row r="42" spans="1:58" outlineLevel="1" x14ac:dyDescent="0.45">
      <c r="A42" s="1406"/>
      <c r="B42" s="1412" t="s">
        <v>414</v>
      </c>
      <c r="C42" s="1517" t="s">
        <v>414</v>
      </c>
      <c r="D42" s="1517" t="str">
        <f t="shared" si="9"/>
        <v>MERC/CAPEX/20122013/02107</v>
      </c>
      <c r="E42" s="1518">
        <f t="shared" si="9"/>
        <v>41040</v>
      </c>
      <c r="F42" s="1508">
        <f t="shared" si="8"/>
        <v>41281</v>
      </c>
      <c r="G42" s="1285">
        <v>1.61</v>
      </c>
      <c r="H42" s="1285">
        <v>1.61</v>
      </c>
      <c r="I42" s="539"/>
      <c r="J42" s="539"/>
      <c r="K42" s="1454">
        <f t="shared" si="0"/>
        <v>41281</v>
      </c>
      <c r="L42" s="1287"/>
      <c r="M42" s="1287"/>
      <c r="N42" s="1287"/>
      <c r="O42" s="1515"/>
      <c r="P42" s="1510">
        <v>0</v>
      </c>
      <c r="Q42" s="1510"/>
      <c r="R42" s="1510"/>
      <c r="S42" s="1510"/>
      <c r="T42" s="1510">
        <f t="shared" si="3"/>
        <v>0</v>
      </c>
      <c r="U42" s="1409"/>
      <c r="V42" s="1409"/>
      <c r="W42" s="1409"/>
      <c r="X42" s="1409"/>
      <c r="Y42" s="1409"/>
      <c r="Z42" s="1409"/>
      <c r="AA42" s="1409"/>
      <c r="AB42" s="1511"/>
      <c r="AC42" s="1512"/>
      <c r="AD42" s="1512"/>
      <c r="AE42" s="1512"/>
      <c r="AF42" s="1512"/>
      <c r="AG42" s="1513"/>
      <c r="AH42" s="1513"/>
      <c r="AI42" s="1513"/>
      <c r="AJ42" s="1409"/>
      <c r="AK42" s="1409"/>
      <c r="AL42" s="1409"/>
      <c r="AM42" s="1409"/>
      <c r="AN42" s="1511"/>
      <c r="AO42" s="1510">
        <v>0</v>
      </c>
      <c r="AP42" s="1510"/>
      <c r="AQ42" s="1510"/>
      <c r="AR42" s="1510"/>
      <c r="AS42" s="1501">
        <f t="shared" si="1"/>
        <v>0</v>
      </c>
      <c r="AT42" s="1514"/>
      <c r="AU42" s="1514"/>
      <c r="AV42" s="1514"/>
      <c r="AW42" s="1409"/>
      <c r="AX42" s="1409"/>
      <c r="AY42" s="1409"/>
      <c r="AZ42" s="1409"/>
      <c r="BA42" s="1511"/>
      <c r="BB42" s="1409"/>
      <c r="BC42" s="1509"/>
      <c r="BD42" s="1516" t="s">
        <v>935</v>
      </c>
    </row>
    <row r="43" spans="1:58" s="91" customFormat="1" ht="46.5" outlineLevel="1" x14ac:dyDescent="0.3">
      <c r="A43" s="1406">
        <v>5</v>
      </c>
      <c r="B43" s="1407" t="s">
        <v>989</v>
      </c>
      <c r="C43" s="1498" t="s">
        <v>930</v>
      </c>
      <c r="D43" s="1498" t="s">
        <v>990</v>
      </c>
      <c r="E43" s="1499">
        <v>41799</v>
      </c>
      <c r="F43" s="1499">
        <v>41928</v>
      </c>
      <c r="G43" s="1283">
        <f>SUM(G44:G48)</f>
        <v>13.692</v>
      </c>
      <c r="H43" s="1283">
        <f>SUM(H44:H48)</f>
        <v>13.692</v>
      </c>
      <c r="I43" s="538"/>
      <c r="J43" s="538"/>
      <c r="K43" s="1451">
        <f t="shared" si="0"/>
        <v>41928</v>
      </c>
      <c r="L43" s="1284"/>
      <c r="M43" s="1284"/>
      <c r="N43" s="1284"/>
      <c r="O43" s="1500"/>
      <c r="P43" s="1501"/>
      <c r="Q43" s="1501"/>
      <c r="R43" s="1501"/>
      <c r="S43" s="1501"/>
      <c r="T43" s="1510">
        <f t="shared" si="3"/>
        <v>0</v>
      </c>
      <c r="U43" s="1452"/>
      <c r="V43" s="1452"/>
      <c r="W43" s="1452"/>
      <c r="X43" s="1452"/>
      <c r="Y43" s="1452"/>
      <c r="Z43" s="1452"/>
      <c r="AA43" s="1452"/>
      <c r="AB43" s="1502"/>
      <c r="AC43" s="1503"/>
      <c r="AD43" s="1503"/>
      <c r="AE43" s="1503"/>
      <c r="AF43" s="1503"/>
      <c r="AG43" s="1504"/>
      <c r="AH43" s="1504"/>
      <c r="AI43" s="1504"/>
      <c r="AJ43" s="1452"/>
      <c r="AK43" s="1452"/>
      <c r="AL43" s="1452"/>
      <c r="AM43" s="1452"/>
      <c r="AN43" s="1502"/>
      <c r="AO43" s="1501"/>
      <c r="AP43" s="1501"/>
      <c r="AQ43" s="1501"/>
      <c r="AR43" s="1501"/>
      <c r="AS43" s="1501">
        <f t="shared" si="1"/>
        <v>0</v>
      </c>
      <c r="AT43" s="1505"/>
      <c r="AU43" s="1505"/>
      <c r="AV43" s="1505"/>
      <c r="AW43" s="1452"/>
      <c r="AX43" s="1452"/>
      <c r="AY43" s="1452"/>
      <c r="AZ43" s="1452"/>
      <c r="BA43" s="1502"/>
      <c r="BB43" s="1452"/>
      <c r="BC43" s="1500"/>
      <c r="BD43" s="1506" t="s">
        <v>935</v>
      </c>
      <c r="BE43" s="1477"/>
      <c r="BF43" s="1491"/>
    </row>
    <row r="44" spans="1:58" ht="99.5" outlineLevel="1" x14ac:dyDescent="0.45">
      <c r="A44" s="1416">
        <v>5.0999999999999996</v>
      </c>
      <c r="B44" s="1419" t="s">
        <v>991</v>
      </c>
      <c r="C44" s="1517" t="s">
        <v>938</v>
      </c>
      <c r="D44" s="1517" t="str">
        <f>D43</f>
        <v>MERC/TECH-1/CAPEX/20142015/006</v>
      </c>
      <c r="E44" s="1518">
        <f>E43</f>
        <v>41799</v>
      </c>
      <c r="F44" s="1508">
        <f t="shared" ref="F44:F48" si="10">IF(F43=0,"-",F43)</f>
        <v>41928</v>
      </c>
      <c r="G44" s="1285">
        <v>1.1040000000000001</v>
      </c>
      <c r="H44" s="1285">
        <v>1.1040000000000001</v>
      </c>
      <c r="I44" s="539"/>
      <c r="J44" s="539"/>
      <c r="K44" s="1454">
        <f t="shared" si="0"/>
        <v>41928</v>
      </c>
      <c r="L44" s="1286">
        <v>41958</v>
      </c>
      <c r="M44" s="1286">
        <v>42293</v>
      </c>
      <c r="N44" s="1286">
        <v>41958</v>
      </c>
      <c r="O44" s="1509" t="s">
        <v>992</v>
      </c>
      <c r="P44" s="1510">
        <v>0.54</v>
      </c>
      <c r="Q44" s="1510"/>
      <c r="R44" s="1510"/>
      <c r="S44" s="1510"/>
      <c r="T44" s="1510">
        <f t="shared" si="3"/>
        <v>0.54</v>
      </c>
      <c r="U44" s="1409"/>
      <c r="V44" s="1409"/>
      <c r="W44" s="1409"/>
      <c r="X44" s="1409"/>
      <c r="Y44" s="1409"/>
      <c r="Z44" s="1409"/>
      <c r="AA44" s="1409"/>
      <c r="AB44" s="1511"/>
      <c r="AC44" s="1512">
        <v>1</v>
      </c>
      <c r="AD44" s="1512"/>
      <c r="AE44" s="1512"/>
      <c r="AF44" s="1512"/>
      <c r="AG44" s="1513"/>
      <c r="AH44" s="1513"/>
      <c r="AI44" s="1513"/>
      <c r="AJ44" s="1409"/>
      <c r="AK44" s="1409"/>
      <c r="AL44" s="1409"/>
      <c r="AM44" s="1409"/>
      <c r="AN44" s="1511"/>
      <c r="AO44" s="1510">
        <v>0.54</v>
      </c>
      <c r="AP44" s="1510"/>
      <c r="AQ44" s="1510"/>
      <c r="AR44" s="1510"/>
      <c r="AS44" s="1501">
        <f t="shared" si="1"/>
        <v>0.54</v>
      </c>
      <c r="AT44" s="1514"/>
      <c r="AU44" s="1514"/>
      <c r="AV44" s="1514"/>
      <c r="AW44" s="1409"/>
      <c r="AX44" s="1409"/>
      <c r="AY44" s="1409"/>
      <c r="AZ44" s="1409"/>
      <c r="BA44" s="1511"/>
      <c r="BB44" s="1409"/>
      <c r="BC44" s="1520"/>
      <c r="BD44" s="1516" t="s">
        <v>943</v>
      </c>
    </row>
    <row r="45" spans="1:58" ht="113.5" outlineLevel="1" x14ac:dyDescent="0.45">
      <c r="A45" s="1416">
        <v>5.2</v>
      </c>
      <c r="B45" s="1419" t="s">
        <v>993</v>
      </c>
      <c r="C45" s="1517" t="s">
        <v>938</v>
      </c>
      <c r="D45" s="1517" t="str">
        <f t="shared" ref="D45:E48" si="11">D44</f>
        <v>MERC/TECH-1/CAPEX/20142015/006</v>
      </c>
      <c r="E45" s="1518">
        <f t="shared" si="11"/>
        <v>41799</v>
      </c>
      <c r="F45" s="1508">
        <f t="shared" si="10"/>
        <v>41928</v>
      </c>
      <c r="G45" s="1285">
        <f>1.653+3.824</f>
        <v>5.4770000000000003</v>
      </c>
      <c r="H45" s="1285">
        <f>1.653+3.824</f>
        <v>5.4770000000000003</v>
      </c>
      <c r="I45" s="539"/>
      <c r="J45" s="539"/>
      <c r="K45" s="1454">
        <f t="shared" si="0"/>
        <v>41928</v>
      </c>
      <c r="L45" s="1286">
        <v>42227</v>
      </c>
      <c r="M45" s="1286">
        <v>42293</v>
      </c>
      <c r="N45" s="1286">
        <v>42289</v>
      </c>
      <c r="O45" s="1509" t="s">
        <v>1703</v>
      </c>
      <c r="P45" s="1510">
        <v>5.4649043000000006</v>
      </c>
      <c r="Q45" s="1510"/>
      <c r="R45" s="1510"/>
      <c r="S45" s="1510"/>
      <c r="T45" s="1510">
        <f t="shared" si="3"/>
        <v>5.4649043000000006</v>
      </c>
      <c r="U45" s="1409"/>
      <c r="V45" s="1409"/>
      <c r="W45" s="1409"/>
      <c r="X45" s="1409"/>
      <c r="Y45" s="1409"/>
      <c r="Z45" s="1409"/>
      <c r="AA45" s="1409"/>
      <c r="AB45" s="1511"/>
      <c r="AC45" s="1512">
        <v>1</v>
      </c>
      <c r="AD45" s="1512"/>
      <c r="AE45" s="1512"/>
      <c r="AF45" s="1512"/>
      <c r="AG45" s="1513"/>
      <c r="AH45" s="1513"/>
      <c r="AI45" s="1513"/>
      <c r="AJ45" s="1409"/>
      <c r="AK45" s="1409"/>
      <c r="AL45" s="1409"/>
      <c r="AM45" s="1409"/>
      <c r="AN45" s="1511"/>
      <c r="AO45" s="1510">
        <v>5.4649043000000006</v>
      </c>
      <c r="AP45" s="1510"/>
      <c r="AQ45" s="1510"/>
      <c r="AR45" s="1510"/>
      <c r="AS45" s="1501">
        <f t="shared" si="1"/>
        <v>5.4649043000000006</v>
      </c>
      <c r="AT45" s="1514"/>
      <c r="AU45" s="1514"/>
      <c r="AV45" s="1514"/>
      <c r="AW45" s="1409"/>
      <c r="AX45" s="1409"/>
      <c r="AY45" s="1409"/>
      <c r="AZ45" s="1409"/>
      <c r="BA45" s="1511"/>
      <c r="BB45" s="1409"/>
      <c r="BC45" s="1520"/>
      <c r="BD45" s="1516" t="s">
        <v>943</v>
      </c>
    </row>
    <row r="46" spans="1:58" ht="127.5" outlineLevel="1" x14ac:dyDescent="0.45">
      <c r="A46" s="1416">
        <v>5.3</v>
      </c>
      <c r="B46" s="1419" t="s">
        <v>994</v>
      </c>
      <c r="C46" s="1517" t="s">
        <v>938</v>
      </c>
      <c r="D46" s="1517" t="str">
        <f t="shared" si="11"/>
        <v>MERC/TECH-1/CAPEX/20142015/006</v>
      </c>
      <c r="E46" s="1518">
        <f t="shared" si="11"/>
        <v>41799</v>
      </c>
      <c r="F46" s="1508">
        <f t="shared" si="10"/>
        <v>41928</v>
      </c>
      <c r="G46" s="1285">
        <v>2.7109999999999999</v>
      </c>
      <c r="H46" s="1285">
        <v>2.7109999999999999</v>
      </c>
      <c r="I46" s="539"/>
      <c r="J46" s="539"/>
      <c r="K46" s="1454">
        <f t="shared" si="0"/>
        <v>41928</v>
      </c>
      <c r="L46" s="1286">
        <v>41929</v>
      </c>
      <c r="M46" s="1286">
        <v>42293</v>
      </c>
      <c r="N46" s="1287"/>
      <c r="O46" s="1509" t="s">
        <v>1704</v>
      </c>
      <c r="P46" s="1510">
        <v>2.6624558</v>
      </c>
      <c r="Q46" s="1510"/>
      <c r="R46" s="1510"/>
      <c r="S46" s="1510"/>
      <c r="T46" s="1510">
        <f t="shared" si="3"/>
        <v>2.6624558</v>
      </c>
      <c r="U46" s="1409"/>
      <c r="V46" s="1409"/>
      <c r="W46" s="1409"/>
      <c r="X46" s="1409"/>
      <c r="Y46" s="1409"/>
      <c r="Z46" s="1409"/>
      <c r="AA46" s="1409"/>
      <c r="AB46" s="1511"/>
      <c r="AC46" s="1512">
        <v>1</v>
      </c>
      <c r="AD46" s="1512"/>
      <c r="AE46" s="1512"/>
      <c r="AF46" s="1512"/>
      <c r="AG46" s="1513"/>
      <c r="AH46" s="1513"/>
      <c r="AI46" s="1513"/>
      <c r="AJ46" s="1409"/>
      <c r="AK46" s="1409"/>
      <c r="AL46" s="1409"/>
      <c r="AM46" s="1409"/>
      <c r="AN46" s="1511"/>
      <c r="AO46" s="1510">
        <v>2.6624558</v>
      </c>
      <c r="AP46" s="1510"/>
      <c r="AQ46" s="1510"/>
      <c r="AR46" s="1510"/>
      <c r="AS46" s="1501">
        <f t="shared" si="1"/>
        <v>2.6624558</v>
      </c>
      <c r="AT46" s="1514"/>
      <c r="AU46" s="1514"/>
      <c r="AV46" s="1514"/>
      <c r="AW46" s="1409"/>
      <c r="AX46" s="1409"/>
      <c r="AY46" s="1409"/>
      <c r="AZ46" s="1409"/>
      <c r="BA46" s="1511"/>
      <c r="BB46" s="1409"/>
      <c r="BC46" s="1520" t="s">
        <v>995</v>
      </c>
      <c r="BD46" s="1506" t="s">
        <v>943</v>
      </c>
    </row>
    <row r="47" spans="1:58" ht="112" outlineLevel="1" x14ac:dyDescent="0.45">
      <c r="A47" s="1416">
        <v>5.4</v>
      </c>
      <c r="B47" s="1419" t="s">
        <v>996</v>
      </c>
      <c r="C47" s="1517" t="s">
        <v>938</v>
      </c>
      <c r="D47" s="1517" t="str">
        <f t="shared" si="11"/>
        <v>MERC/TECH-1/CAPEX/20142015/006</v>
      </c>
      <c r="E47" s="1518">
        <f t="shared" si="11"/>
        <v>41799</v>
      </c>
      <c r="F47" s="1508">
        <f t="shared" si="10"/>
        <v>41928</v>
      </c>
      <c r="G47" s="1285">
        <v>2.7109999999999999</v>
      </c>
      <c r="H47" s="1285">
        <v>2.7109999999999999</v>
      </c>
      <c r="I47" s="539"/>
      <c r="J47" s="539"/>
      <c r="K47" s="1454">
        <f t="shared" si="0"/>
        <v>41928</v>
      </c>
      <c r="L47" s="1286">
        <v>41944</v>
      </c>
      <c r="M47" s="1286">
        <v>42293</v>
      </c>
      <c r="N47" s="1286">
        <v>42051</v>
      </c>
      <c r="O47" s="1522" t="s">
        <v>1705</v>
      </c>
      <c r="P47" s="1510">
        <v>2.3531</v>
      </c>
      <c r="Q47" s="1510"/>
      <c r="R47" s="1510"/>
      <c r="S47" s="1510"/>
      <c r="T47" s="1510">
        <f t="shared" si="3"/>
        <v>2.3531</v>
      </c>
      <c r="U47" s="1409"/>
      <c r="V47" s="1409"/>
      <c r="W47" s="1409"/>
      <c r="X47" s="1409"/>
      <c r="Y47" s="1409"/>
      <c r="Z47" s="1409"/>
      <c r="AA47" s="1409"/>
      <c r="AB47" s="1511"/>
      <c r="AC47" s="1512">
        <v>1</v>
      </c>
      <c r="AD47" s="1512"/>
      <c r="AE47" s="1512"/>
      <c r="AF47" s="1512"/>
      <c r="AG47" s="1513"/>
      <c r="AH47" s="1513"/>
      <c r="AI47" s="1513"/>
      <c r="AJ47" s="1409"/>
      <c r="AK47" s="1409"/>
      <c r="AL47" s="1409"/>
      <c r="AM47" s="1409"/>
      <c r="AN47" s="1511"/>
      <c r="AO47" s="1510">
        <v>2.3531</v>
      </c>
      <c r="AP47" s="1510"/>
      <c r="AQ47" s="1510"/>
      <c r="AR47" s="1510"/>
      <c r="AS47" s="1501">
        <f t="shared" si="1"/>
        <v>2.3531</v>
      </c>
      <c r="AT47" s="1514"/>
      <c r="AU47" s="1514"/>
      <c r="AV47" s="1514"/>
      <c r="AW47" s="1409"/>
      <c r="AX47" s="1409"/>
      <c r="AY47" s="1409"/>
      <c r="AZ47" s="1409"/>
      <c r="BA47" s="1511"/>
      <c r="BB47" s="1409"/>
      <c r="BC47" s="1520" t="s">
        <v>997</v>
      </c>
      <c r="BD47" s="1506" t="s">
        <v>943</v>
      </c>
    </row>
    <row r="48" spans="1:58" outlineLevel="1" x14ac:dyDescent="0.45">
      <c r="A48" s="1406"/>
      <c r="B48" s="1419" t="s">
        <v>414</v>
      </c>
      <c r="C48" s="1517" t="s">
        <v>414</v>
      </c>
      <c r="D48" s="1517" t="str">
        <f t="shared" si="11"/>
        <v>MERC/TECH-1/CAPEX/20142015/006</v>
      </c>
      <c r="E48" s="1518">
        <f t="shared" si="11"/>
        <v>41799</v>
      </c>
      <c r="F48" s="1508">
        <f t="shared" si="10"/>
        <v>41928</v>
      </c>
      <c r="G48" s="1285">
        <v>1.6890000000000001</v>
      </c>
      <c r="H48" s="1285">
        <v>1.6890000000000001</v>
      </c>
      <c r="I48" s="539"/>
      <c r="J48" s="539"/>
      <c r="K48" s="1454">
        <f t="shared" si="0"/>
        <v>41928</v>
      </c>
      <c r="L48" s="1287"/>
      <c r="M48" s="1287"/>
      <c r="N48" s="1287"/>
      <c r="O48" s="1515"/>
      <c r="P48" s="1510">
        <v>0</v>
      </c>
      <c r="Q48" s="1510"/>
      <c r="R48" s="1510"/>
      <c r="S48" s="1510"/>
      <c r="T48" s="1510">
        <f t="shared" si="3"/>
        <v>0</v>
      </c>
      <c r="U48" s="1409"/>
      <c r="V48" s="1409"/>
      <c r="W48" s="1409"/>
      <c r="X48" s="1409"/>
      <c r="Y48" s="1409"/>
      <c r="Z48" s="1409"/>
      <c r="AA48" s="1409"/>
      <c r="AB48" s="1511"/>
      <c r="AC48" s="1512"/>
      <c r="AD48" s="1512"/>
      <c r="AE48" s="1512"/>
      <c r="AF48" s="1512"/>
      <c r="AG48" s="1513"/>
      <c r="AH48" s="1513"/>
      <c r="AI48" s="1513"/>
      <c r="AJ48" s="1409"/>
      <c r="AK48" s="1409"/>
      <c r="AL48" s="1409"/>
      <c r="AM48" s="1409"/>
      <c r="AN48" s="1511"/>
      <c r="AO48" s="1510">
        <v>0</v>
      </c>
      <c r="AP48" s="1510"/>
      <c r="AQ48" s="1510"/>
      <c r="AR48" s="1510"/>
      <c r="AS48" s="1501">
        <f t="shared" si="1"/>
        <v>0</v>
      </c>
      <c r="AT48" s="1514"/>
      <c r="AU48" s="1514"/>
      <c r="AV48" s="1514"/>
      <c r="AW48" s="1409"/>
      <c r="AX48" s="1409"/>
      <c r="AY48" s="1409"/>
      <c r="AZ48" s="1409"/>
      <c r="BA48" s="1511"/>
      <c r="BB48" s="1409"/>
      <c r="BC48" s="1515"/>
      <c r="BD48" s="1516" t="s">
        <v>935</v>
      </c>
    </row>
    <row r="49" spans="1:58" s="91" customFormat="1" ht="46.5" outlineLevel="1" x14ac:dyDescent="0.3">
      <c r="A49" s="1406">
        <v>6</v>
      </c>
      <c r="B49" s="1407" t="s">
        <v>998</v>
      </c>
      <c r="C49" s="1498" t="s">
        <v>930</v>
      </c>
      <c r="D49" s="1498" t="s">
        <v>999</v>
      </c>
      <c r="E49" s="1499">
        <v>41641</v>
      </c>
      <c r="F49" s="1499">
        <v>41792</v>
      </c>
      <c r="G49" s="1283">
        <f>SUM(G50:G52)</f>
        <v>17.369999999999997</v>
      </c>
      <c r="H49" s="1283">
        <f>SUM(H50:H52)</f>
        <v>17.369999999999997</v>
      </c>
      <c r="I49" s="538"/>
      <c r="J49" s="538"/>
      <c r="K49" s="1451">
        <f t="shared" si="0"/>
        <v>41792</v>
      </c>
      <c r="L49" s="1284"/>
      <c r="M49" s="1284"/>
      <c r="N49" s="1284"/>
      <c r="O49" s="1500"/>
      <c r="P49" s="1501"/>
      <c r="Q49" s="1501"/>
      <c r="R49" s="1501"/>
      <c r="S49" s="1501"/>
      <c r="T49" s="1510">
        <f t="shared" si="3"/>
        <v>0</v>
      </c>
      <c r="U49" s="1452"/>
      <c r="V49" s="1452"/>
      <c r="W49" s="1452"/>
      <c r="X49" s="1452"/>
      <c r="Y49" s="1452"/>
      <c r="Z49" s="1452"/>
      <c r="AA49" s="1452"/>
      <c r="AB49" s="1502"/>
      <c r="AC49" s="1503"/>
      <c r="AD49" s="1503"/>
      <c r="AE49" s="1503"/>
      <c r="AF49" s="1503"/>
      <c r="AG49" s="1504"/>
      <c r="AH49" s="1504"/>
      <c r="AI49" s="1504"/>
      <c r="AJ49" s="1452"/>
      <c r="AK49" s="1452"/>
      <c r="AL49" s="1452"/>
      <c r="AM49" s="1452"/>
      <c r="AN49" s="1502"/>
      <c r="AO49" s="1501"/>
      <c r="AP49" s="1501"/>
      <c r="AQ49" s="1501"/>
      <c r="AR49" s="1501"/>
      <c r="AS49" s="1501">
        <f t="shared" si="1"/>
        <v>0</v>
      </c>
      <c r="AT49" s="1505"/>
      <c r="AU49" s="1505"/>
      <c r="AV49" s="1505"/>
      <c r="AW49" s="1452"/>
      <c r="AX49" s="1452"/>
      <c r="AY49" s="1452"/>
      <c r="AZ49" s="1452"/>
      <c r="BA49" s="1502"/>
      <c r="BB49" s="1452"/>
      <c r="BC49" s="1500"/>
      <c r="BD49" s="1506" t="s">
        <v>935</v>
      </c>
      <c r="BE49" s="1477"/>
      <c r="BF49" s="1491"/>
    </row>
    <row r="50" spans="1:58" ht="85.5" outlineLevel="1" x14ac:dyDescent="0.45">
      <c r="A50" s="1411">
        <v>6.1</v>
      </c>
      <c r="B50" s="1419" t="s">
        <v>1000</v>
      </c>
      <c r="C50" s="1507" t="s">
        <v>938</v>
      </c>
      <c r="D50" s="1507" t="str">
        <f>D49</f>
        <v>MERC/Tech-1/CAPEX /2014-15/00433</v>
      </c>
      <c r="E50" s="1508">
        <f>E49</f>
        <v>41641</v>
      </c>
      <c r="F50" s="1508">
        <f t="shared" ref="F50:F52" si="12">IF(F49=0,"-",F49)</f>
        <v>41792</v>
      </c>
      <c r="G50" s="1285">
        <v>2.62</v>
      </c>
      <c r="H50" s="1285">
        <v>2.62</v>
      </c>
      <c r="I50" s="539"/>
      <c r="J50" s="539"/>
      <c r="K50" s="1454">
        <f t="shared" si="0"/>
        <v>41792</v>
      </c>
      <c r="L50" s="1286">
        <v>41793</v>
      </c>
      <c r="M50" s="1286">
        <v>42888</v>
      </c>
      <c r="N50" s="1286">
        <v>42297</v>
      </c>
      <c r="O50" s="1509" t="s">
        <v>1001</v>
      </c>
      <c r="P50" s="1510">
        <v>1.3984000000000001</v>
      </c>
      <c r="Q50" s="1510"/>
      <c r="R50" s="1510"/>
      <c r="S50" s="1510"/>
      <c r="T50" s="1510">
        <f t="shared" si="3"/>
        <v>1.3984000000000001</v>
      </c>
      <c r="U50" s="1409"/>
      <c r="V50" s="1409"/>
      <c r="W50" s="1409"/>
      <c r="X50" s="1409"/>
      <c r="Y50" s="1409"/>
      <c r="Z50" s="1409"/>
      <c r="AA50" s="1409"/>
      <c r="AB50" s="1511"/>
      <c r="AC50" s="1512">
        <v>1</v>
      </c>
      <c r="AD50" s="1512"/>
      <c r="AE50" s="1512"/>
      <c r="AF50" s="1512"/>
      <c r="AG50" s="1513"/>
      <c r="AH50" s="1513"/>
      <c r="AI50" s="1513"/>
      <c r="AJ50" s="1409"/>
      <c r="AK50" s="1409"/>
      <c r="AL50" s="1409"/>
      <c r="AM50" s="1409"/>
      <c r="AN50" s="1511"/>
      <c r="AO50" s="1510">
        <v>1.3984000000000001</v>
      </c>
      <c r="AP50" s="1510"/>
      <c r="AQ50" s="1510"/>
      <c r="AR50" s="1510"/>
      <c r="AS50" s="1501">
        <f t="shared" si="1"/>
        <v>1.3984000000000001</v>
      </c>
      <c r="AT50" s="1514"/>
      <c r="AU50" s="1514"/>
      <c r="AV50" s="1514"/>
      <c r="AW50" s="1409"/>
      <c r="AX50" s="1409"/>
      <c r="AY50" s="1409"/>
      <c r="AZ50" s="1409"/>
      <c r="BA50" s="1511"/>
      <c r="BB50" s="1409"/>
      <c r="BC50" s="1520" t="s">
        <v>1002</v>
      </c>
      <c r="BD50" s="1516" t="s">
        <v>943</v>
      </c>
    </row>
    <row r="51" spans="1:58" ht="127.5" outlineLevel="1" x14ac:dyDescent="0.45">
      <c r="A51" s="1411">
        <v>6.2</v>
      </c>
      <c r="B51" s="1419" t="s">
        <v>1003</v>
      </c>
      <c r="C51" s="1507" t="s">
        <v>938</v>
      </c>
      <c r="D51" s="1507" t="str">
        <f t="shared" ref="D51:E52" si="13">D50</f>
        <v>MERC/Tech-1/CAPEX /2014-15/00433</v>
      </c>
      <c r="E51" s="1508">
        <f t="shared" si="13"/>
        <v>41641</v>
      </c>
      <c r="F51" s="1508">
        <f t="shared" si="12"/>
        <v>41792</v>
      </c>
      <c r="G51" s="1285">
        <v>13.404999999999999</v>
      </c>
      <c r="H51" s="1285">
        <v>13.404999999999999</v>
      </c>
      <c r="I51" s="539"/>
      <c r="J51" s="539"/>
      <c r="K51" s="1454">
        <f t="shared" si="0"/>
        <v>41792</v>
      </c>
      <c r="L51" s="1286">
        <v>41793</v>
      </c>
      <c r="M51" s="1286">
        <v>42888</v>
      </c>
      <c r="N51" s="1286">
        <v>42247</v>
      </c>
      <c r="O51" s="1509" t="s">
        <v>1004</v>
      </c>
      <c r="P51" s="1510">
        <v>1.2086276</v>
      </c>
      <c r="Q51" s="1510"/>
      <c r="R51" s="1510"/>
      <c r="S51" s="1510"/>
      <c r="T51" s="1510">
        <f t="shared" si="3"/>
        <v>1.2086276</v>
      </c>
      <c r="U51" s="1409"/>
      <c r="V51" s="1409"/>
      <c r="W51" s="1409"/>
      <c r="X51" s="1409"/>
      <c r="Y51" s="1409"/>
      <c r="Z51" s="1409"/>
      <c r="AA51" s="1409"/>
      <c r="AB51" s="1511"/>
      <c r="AC51" s="1512">
        <v>1</v>
      </c>
      <c r="AD51" s="1512"/>
      <c r="AE51" s="1512"/>
      <c r="AF51" s="1512"/>
      <c r="AG51" s="1513"/>
      <c r="AH51" s="1513"/>
      <c r="AI51" s="1513"/>
      <c r="AJ51" s="1409"/>
      <c r="AK51" s="1409"/>
      <c r="AL51" s="1409"/>
      <c r="AM51" s="1409"/>
      <c r="AN51" s="1511"/>
      <c r="AO51" s="1510">
        <v>1.2086276</v>
      </c>
      <c r="AP51" s="1510"/>
      <c r="AQ51" s="1510"/>
      <c r="AR51" s="1510"/>
      <c r="AS51" s="1501">
        <f t="shared" si="1"/>
        <v>1.2086276</v>
      </c>
      <c r="AT51" s="1514"/>
      <c r="AU51" s="1514"/>
      <c r="AV51" s="1514"/>
      <c r="AW51" s="1409"/>
      <c r="AX51" s="1409"/>
      <c r="AY51" s="1409"/>
      <c r="AZ51" s="1409"/>
      <c r="BA51" s="1511"/>
      <c r="BB51" s="1409"/>
      <c r="BC51" s="1520" t="s">
        <v>1005</v>
      </c>
      <c r="BD51" s="1506" t="s">
        <v>943</v>
      </c>
    </row>
    <row r="52" spans="1:58" outlineLevel="1" x14ac:dyDescent="0.45">
      <c r="A52" s="1411"/>
      <c r="B52" s="1419" t="s">
        <v>414</v>
      </c>
      <c r="C52" s="1507" t="s">
        <v>414</v>
      </c>
      <c r="D52" s="1507" t="str">
        <f t="shared" si="13"/>
        <v>MERC/Tech-1/CAPEX /2014-15/00433</v>
      </c>
      <c r="E52" s="1508">
        <f t="shared" si="13"/>
        <v>41641</v>
      </c>
      <c r="F52" s="1508">
        <f t="shared" si="12"/>
        <v>41792</v>
      </c>
      <c r="G52" s="1285">
        <v>1.345</v>
      </c>
      <c r="H52" s="1285">
        <v>1.345</v>
      </c>
      <c r="I52" s="539"/>
      <c r="J52" s="539"/>
      <c r="K52" s="1454">
        <f t="shared" si="0"/>
        <v>41792</v>
      </c>
      <c r="L52" s="1287"/>
      <c r="M52" s="1287"/>
      <c r="N52" s="1287"/>
      <c r="O52" s="1515"/>
      <c r="P52" s="1510">
        <v>0</v>
      </c>
      <c r="Q52" s="1510"/>
      <c r="R52" s="1510"/>
      <c r="S52" s="1510"/>
      <c r="T52" s="1510">
        <f t="shared" si="3"/>
        <v>0</v>
      </c>
      <c r="U52" s="1409"/>
      <c r="V52" s="1409"/>
      <c r="W52" s="1409"/>
      <c r="X52" s="1409"/>
      <c r="Y52" s="1409"/>
      <c r="Z52" s="1409"/>
      <c r="AA52" s="1409"/>
      <c r="AB52" s="1511"/>
      <c r="AC52" s="1512"/>
      <c r="AD52" s="1512"/>
      <c r="AE52" s="1512"/>
      <c r="AF52" s="1512"/>
      <c r="AG52" s="1513"/>
      <c r="AH52" s="1513"/>
      <c r="AI52" s="1513"/>
      <c r="AJ52" s="1409"/>
      <c r="AK52" s="1409"/>
      <c r="AL52" s="1409"/>
      <c r="AM52" s="1409"/>
      <c r="AN52" s="1511"/>
      <c r="AO52" s="1510">
        <v>0</v>
      </c>
      <c r="AP52" s="1510"/>
      <c r="AQ52" s="1510"/>
      <c r="AR52" s="1510"/>
      <c r="AS52" s="1501">
        <f t="shared" si="1"/>
        <v>0</v>
      </c>
      <c r="AT52" s="1514"/>
      <c r="AU52" s="1514"/>
      <c r="AV52" s="1514"/>
      <c r="AW52" s="1409"/>
      <c r="AX52" s="1409"/>
      <c r="AY52" s="1409"/>
      <c r="AZ52" s="1409"/>
      <c r="BA52" s="1511"/>
      <c r="BB52" s="1409"/>
      <c r="BC52" s="1515"/>
      <c r="BD52" s="1516" t="s">
        <v>935</v>
      </c>
    </row>
    <row r="53" spans="1:58" s="91" customFormat="1" ht="46.5" outlineLevel="1" x14ac:dyDescent="0.3">
      <c r="A53" s="1406">
        <v>8</v>
      </c>
      <c r="B53" s="1407" t="s">
        <v>1006</v>
      </c>
      <c r="C53" s="1498" t="s">
        <v>930</v>
      </c>
      <c r="D53" s="1498" t="s">
        <v>1007</v>
      </c>
      <c r="E53" s="1499">
        <v>42403</v>
      </c>
      <c r="F53" s="1499">
        <v>42768</v>
      </c>
      <c r="G53" s="1283">
        <f>SUM(G54:G60)</f>
        <v>2.0930578512396689</v>
      </c>
      <c r="H53" s="1283">
        <f>SUM(H54:H60)</f>
        <v>2.0930578512396689</v>
      </c>
      <c r="I53" s="538"/>
      <c r="J53" s="538"/>
      <c r="K53" s="1451">
        <f t="shared" si="0"/>
        <v>42768</v>
      </c>
      <c r="L53" s="1284"/>
      <c r="M53" s="1284"/>
      <c r="N53" s="1284"/>
      <c r="O53" s="1500"/>
      <c r="P53" s="1501"/>
      <c r="Q53" s="1501"/>
      <c r="R53" s="1501"/>
      <c r="S53" s="1501"/>
      <c r="T53" s="1510">
        <f t="shared" si="3"/>
        <v>0</v>
      </c>
      <c r="U53" s="1452"/>
      <c r="V53" s="1452"/>
      <c r="W53" s="1452"/>
      <c r="X53" s="1452"/>
      <c r="Y53" s="1452"/>
      <c r="Z53" s="1452"/>
      <c r="AA53" s="1452"/>
      <c r="AB53" s="1502"/>
      <c r="AC53" s="1503"/>
      <c r="AD53" s="1503"/>
      <c r="AE53" s="1503"/>
      <c r="AF53" s="1503"/>
      <c r="AG53" s="1504"/>
      <c r="AH53" s="1504"/>
      <c r="AI53" s="1504"/>
      <c r="AJ53" s="1452"/>
      <c r="AK53" s="1452"/>
      <c r="AL53" s="1452"/>
      <c r="AM53" s="1452"/>
      <c r="AN53" s="1502"/>
      <c r="AO53" s="1501"/>
      <c r="AP53" s="1501"/>
      <c r="AQ53" s="1501"/>
      <c r="AR53" s="1501"/>
      <c r="AS53" s="1501">
        <f t="shared" si="1"/>
        <v>0</v>
      </c>
      <c r="AT53" s="1505"/>
      <c r="AU53" s="1505"/>
      <c r="AV53" s="1505"/>
      <c r="AW53" s="1452"/>
      <c r="AX53" s="1452"/>
      <c r="AY53" s="1452"/>
      <c r="AZ53" s="1452"/>
      <c r="BA53" s="1502"/>
      <c r="BB53" s="1452"/>
      <c r="BC53" s="1500"/>
      <c r="BD53" s="1506" t="s">
        <v>935</v>
      </c>
      <c r="BE53" s="1477"/>
      <c r="BF53" s="1491"/>
    </row>
    <row r="54" spans="1:58" ht="377" outlineLevel="1" x14ac:dyDescent="0.45">
      <c r="A54" s="1411">
        <v>8.1</v>
      </c>
      <c r="B54" s="1419" t="s">
        <v>1008</v>
      </c>
      <c r="C54" s="1507" t="s">
        <v>938</v>
      </c>
      <c r="D54" s="1507" t="str">
        <f>D53</f>
        <v>MERC/CAPEX/20162017/01426</v>
      </c>
      <c r="E54" s="1508">
        <f>E53</f>
        <v>42403</v>
      </c>
      <c r="F54" s="1508">
        <f t="shared" ref="F54:F60" si="14">IF(F53=0,"-",F53)</f>
        <v>42768</v>
      </c>
      <c r="G54" s="1285">
        <f>5.99*210/1210</f>
        <v>1.0395867768595042</v>
      </c>
      <c r="H54" s="1285">
        <f>5.99*210/1210</f>
        <v>1.0395867768595042</v>
      </c>
      <c r="I54" s="539"/>
      <c r="J54" s="539"/>
      <c r="K54" s="1454">
        <f t="shared" si="0"/>
        <v>42768</v>
      </c>
      <c r="L54" s="1289">
        <v>43262</v>
      </c>
      <c r="M54" s="1290">
        <v>43133</v>
      </c>
      <c r="N54" s="1289" t="s">
        <v>1009</v>
      </c>
      <c r="O54" s="1523" t="s">
        <v>1010</v>
      </c>
      <c r="P54" s="1510">
        <v>1.0134768000000001</v>
      </c>
      <c r="Q54" s="1510"/>
      <c r="R54" s="1510"/>
      <c r="S54" s="1510"/>
      <c r="T54" s="1510">
        <f t="shared" si="3"/>
        <v>1.0134768000000001</v>
      </c>
      <c r="U54" s="1409"/>
      <c r="V54" s="1409"/>
      <c r="W54" s="1409"/>
      <c r="X54" s="1409"/>
      <c r="Y54" s="1409"/>
      <c r="Z54" s="1409"/>
      <c r="AA54" s="1409"/>
      <c r="AB54" s="1511"/>
      <c r="AC54" s="1512">
        <v>1</v>
      </c>
      <c r="AD54" s="1512"/>
      <c r="AE54" s="1512"/>
      <c r="AF54" s="1512"/>
      <c r="AG54" s="1513"/>
      <c r="AH54" s="1513"/>
      <c r="AI54" s="1513"/>
      <c r="AJ54" s="1409"/>
      <c r="AK54" s="1409"/>
      <c r="AL54" s="1409"/>
      <c r="AM54" s="1409"/>
      <c r="AN54" s="1511"/>
      <c r="AO54" s="1510">
        <v>1.0134768000000001</v>
      </c>
      <c r="AP54" s="1510"/>
      <c r="AQ54" s="1510"/>
      <c r="AR54" s="1510"/>
      <c r="AS54" s="1501">
        <f t="shared" si="1"/>
        <v>1.0134768000000001</v>
      </c>
      <c r="AT54" s="1514"/>
      <c r="AU54" s="1514"/>
      <c r="AV54" s="1514"/>
      <c r="AW54" s="1409"/>
      <c r="AX54" s="1409"/>
      <c r="AY54" s="1409"/>
      <c r="AZ54" s="1409"/>
      <c r="BA54" s="1511"/>
      <c r="BB54" s="1409"/>
      <c r="BC54" s="1520" t="s">
        <v>1011</v>
      </c>
      <c r="BD54" s="1516" t="s">
        <v>943</v>
      </c>
    </row>
    <row r="55" spans="1:58" ht="275.5" outlineLevel="1" x14ac:dyDescent="0.45">
      <c r="A55" s="1411">
        <v>8.1999999999999993</v>
      </c>
      <c r="B55" s="1419" t="s">
        <v>1012</v>
      </c>
      <c r="C55" s="1507" t="s">
        <v>938</v>
      </c>
      <c r="D55" s="1507" t="str">
        <f t="shared" ref="D55:E60" si="15">D54</f>
        <v>MERC/CAPEX/20162017/01426</v>
      </c>
      <c r="E55" s="1508">
        <f t="shared" si="15"/>
        <v>42403</v>
      </c>
      <c r="F55" s="1508">
        <f t="shared" si="14"/>
        <v>42768</v>
      </c>
      <c r="G55" s="1285">
        <f>3.1*210/1210</f>
        <v>0.5380165289256198</v>
      </c>
      <c r="H55" s="1285">
        <f>3.1*210/1210</f>
        <v>0.5380165289256198</v>
      </c>
      <c r="I55" s="539"/>
      <c r="J55" s="539"/>
      <c r="K55" s="1454">
        <f t="shared" si="0"/>
        <v>42768</v>
      </c>
      <c r="L55" s="1286">
        <v>42903</v>
      </c>
      <c r="M55" s="1290">
        <v>43133</v>
      </c>
      <c r="N55" s="1286">
        <v>42991</v>
      </c>
      <c r="O55" s="1523" t="s">
        <v>1013</v>
      </c>
      <c r="P55" s="1510">
        <v>0.72968922148760329</v>
      </c>
      <c r="Q55" s="1510"/>
      <c r="R55" s="1510"/>
      <c r="S55" s="1510"/>
      <c r="T55" s="1510">
        <f t="shared" si="3"/>
        <v>0.72968922148760329</v>
      </c>
      <c r="U55" s="1409"/>
      <c r="V55" s="1409"/>
      <c r="W55" s="1409"/>
      <c r="X55" s="1409"/>
      <c r="Y55" s="1409"/>
      <c r="Z55" s="1409"/>
      <c r="AA55" s="1409"/>
      <c r="AB55" s="1511"/>
      <c r="AC55" s="1512">
        <v>1</v>
      </c>
      <c r="AD55" s="1512"/>
      <c r="AE55" s="1512"/>
      <c r="AF55" s="1512"/>
      <c r="AG55" s="1513"/>
      <c r="AH55" s="1513"/>
      <c r="AI55" s="1513"/>
      <c r="AJ55" s="1409"/>
      <c r="AK55" s="1409"/>
      <c r="AL55" s="1409"/>
      <c r="AM55" s="1409"/>
      <c r="AN55" s="1511"/>
      <c r="AO55" s="1510">
        <v>0.72968922148760329</v>
      </c>
      <c r="AP55" s="1510"/>
      <c r="AQ55" s="1510"/>
      <c r="AR55" s="1510"/>
      <c r="AS55" s="1501">
        <f t="shared" si="1"/>
        <v>0.72968922148760329</v>
      </c>
      <c r="AT55" s="1514"/>
      <c r="AU55" s="1514"/>
      <c r="AV55" s="1514"/>
      <c r="AW55" s="1409"/>
      <c r="AX55" s="1409"/>
      <c r="AY55" s="1409"/>
      <c r="AZ55" s="1409"/>
      <c r="BA55" s="1511"/>
      <c r="BB55" s="1409"/>
      <c r="BC55" s="1520" t="s">
        <v>1014</v>
      </c>
      <c r="BD55" s="1506" t="s">
        <v>943</v>
      </c>
    </row>
    <row r="56" spans="1:58" ht="72.5" outlineLevel="1" x14ac:dyDescent="0.45">
      <c r="A56" s="1411">
        <v>8.3000000000000007</v>
      </c>
      <c r="B56" s="1419" t="s">
        <v>1015</v>
      </c>
      <c r="C56" s="1507" t="s">
        <v>938</v>
      </c>
      <c r="D56" s="1507" t="str">
        <f t="shared" si="15"/>
        <v>MERC/CAPEX/20162017/01426</v>
      </c>
      <c r="E56" s="1508">
        <f t="shared" si="15"/>
        <v>42403</v>
      </c>
      <c r="F56" s="1508">
        <f t="shared" si="14"/>
        <v>42768</v>
      </c>
      <c r="G56" s="1285">
        <f>0.52*210/1210</f>
        <v>9.0247933884297526E-2</v>
      </c>
      <c r="H56" s="1285">
        <f>0.52*210/1210</f>
        <v>9.0247933884297526E-2</v>
      </c>
      <c r="I56" s="539"/>
      <c r="J56" s="539"/>
      <c r="K56" s="1454">
        <f t="shared" si="0"/>
        <v>42768</v>
      </c>
      <c r="L56" s="1286">
        <v>43121</v>
      </c>
      <c r="M56" s="1290">
        <v>43498</v>
      </c>
      <c r="N56" s="1286">
        <v>43132</v>
      </c>
      <c r="O56" s="1523" t="s">
        <v>1016</v>
      </c>
      <c r="P56" s="1510">
        <v>7.9869421487603301E-2</v>
      </c>
      <c r="Q56" s="1510"/>
      <c r="R56" s="1510"/>
      <c r="S56" s="1510"/>
      <c r="T56" s="1510">
        <f t="shared" si="3"/>
        <v>7.9869421487603301E-2</v>
      </c>
      <c r="U56" s="1409"/>
      <c r="V56" s="1409"/>
      <c r="W56" s="1409"/>
      <c r="X56" s="1409"/>
      <c r="Y56" s="1409"/>
      <c r="Z56" s="1409"/>
      <c r="AA56" s="1409"/>
      <c r="AB56" s="1511"/>
      <c r="AC56" s="1512">
        <v>1</v>
      </c>
      <c r="AD56" s="1512"/>
      <c r="AE56" s="1512"/>
      <c r="AF56" s="1512"/>
      <c r="AG56" s="1513"/>
      <c r="AH56" s="1513"/>
      <c r="AI56" s="1513"/>
      <c r="AJ56" s="1409"/>
      <c r="AK56" s="1409"/>
      <c r="AL56" s="1409"/>
      <c r="AM56" s="1409"/>
      <c r="AN56" s="1511"/>
      <c r="AO56" s="1510">
        <v>7.9869421487603301E-2</v>
      </c>
      <c r="AP56" s="1510"/>
      <c r="AQ56" s="1510"/>
      <c r="AR56" s="1510"/>
      <c r="AS56" s="1501">
        <f t="shared" si="1"/>
        <v>7.9869421487603301E-2</v>
      </c>
      <c r="AT56" s="1514"/>
      <c r="AU56" s="1514"/>
      <c r="AV56" s="1514"/>
      <c r="AW56" s="1409"/>
      <c r="AX56" s="1409"/>
      <c r="AY56" s="1409"/>
      <c r="AZ56" s="1409"/>
      <c r="BA56" s="1511"/>
      <c r="BB56" s="1409"/>
      <c r="BC56" s="1520" t="s">
        <v>1017</v>
      </c>
      <c r="BD56" s="1516" t="s">
        <v>943</v>
      </c>
    </row>
    <row r="57" spans="1:58" outlineLevel="1" x14ac:dyDescent="0.45">
      <c r="A57" s="1411">
        <v>8.4</v>
      </c>
      <c r="B57" s="1419" t="s">
        <v>1018</v>
      </c>
      <c r="C57" s="1507" t="s">
        <v>938</v>
      </c>
      <c r="D57" s="1507" t="str">
        <f t="shared" si="15"/>
        <v>MERC/CAPEX/20162017/01426</v>
      </c>
      <c r="E57" s="1508">
        <f t="shared" si="15"/>
        <v>42403</v>
      </c>
      <c r="F57" s="1508">
        <f t="shared" si="14"/>
        <v>42768</v>
      </c>
      <c r="G57" s="1285">
        <f>0.96*210/1210</f>
        <v>0.16661157024793388</v>
      </c>
      <c r="H57" s="1285">
        <f>0.96*210/1210</f>
        <v>0.16661157024793388</v>
      </c>
      <c r="I57" s="539"/>
      <c r="J57" s="539"/>
      <c r="K57" s="1454">
        <f t="shared" si="0"/>
        <v>42768</v>
      </c>
      <c r="L57" s="1287"/>
      <c r="M57" s="1287"/>
      <c r="N57" s="1287"/>
      <c r="O57" s="1515"/>
      <c r="P57" s="1510">
        <v>0</v>
      </c>
      <c r="Q57" s="1510"/>
      <c r="R57" s="1510"/>
      <c r="S57" s="1510"/>
      <c r="T57" s="1510">
        <f t="shared" si="3"/>
        <v>0</v>
      </c>
      <c r="U57" s="1409"/>
      <c r="V57" s="1409"/>
      <c r="W57" s="1409"/>
      <c r="X57" s="1409"/>
      <c r="Y57" s="1409"/>
      <c r="Z57" s="1409"/>
      <c r="AA57" s="1409"/>
      <c r="AB57" s="1511"/>
      <c r="AC57" s="1512"/>
      <c r="AD57" s="1512"/>
      <c r="AE57" s="1512"/>
      <c r="AF57" s="1512"/>
      <c r="AG57" s="1513"/>
      <c r="AH57" s="1513"/>
      <c r="AI57" s="1513"/>
      <c r="AJ57" s="1409"/>
      <c r="AK57" s="1409"/>
      <c r="AL57" s="1409"/>
      <c r="AM57" s="1409"/>
      <c r="AN57" s="1511"/>
      <c r="AO57" s="1510">
        <v>0</v>
      </c>
      <c r="AP57" s="1510"/>
      <c r="AQ57" s="1510"/>
      <c r="AR57" s="1510"/>
      <c r="AS57" s="1501">
        <f t="shared" si="1"/>
        <v>0</v>
      </c>
      <c r="AT57" s="1514"/>
      <c r="AU57" s="1514"/>
      <c r="AV57" s="1514"/>
      <c r="AW57" s="1409"/>
      <c r="AX57" s="1409"/>
      <c r="AY57" s="1409"/>
      <c r="AZ57" s="1409"/>
      <c r="BA57" s="1511"/>
      <c r="BB57" s="1409"/>
      <c r="BC57" s="1515"/>
      <c r="BD57" s="1516" t="s">
        <v>946</v>
      </c>
    </row>
    <row r="58" spans="1:58" ht="31" outlineLevel="1" x14ac:dyDescent="0.45">
      <c r="A58" s="1411">
        <v>8.5</v>
      </c>
      <c r="B58" s="1419" t="s">
        <v>1019</v>
      </c>
      <c r="C58" s="1507" t="s">
        <v>938</v>
      </c>
      <c r="D58" s="1507" t="str">
        <f t="shared" si="15"/>
        <v>MERC/CAPEX/20162017/01426</v>
      </c>
      <c r="E58" s="1508">
        <f t="shared" si="15"/>
        <v>42403</v>
      </c>
      <c r="F58" s="1508">
        <f t="shared" si="14"/>
        <v>42768</v>
      </c>
      <c r="G58" s="1285">
        <f>0.65*210/1210</f>
        <v>0.11280991735537189</v>
      </c>
      <c r="H58" s="1285">
        <f>0.65*210/1210</f>
        <v>0.11280991735537189</v>
      </c>
      <c r="I58" s="539"/>
      <c r="J58" s="539"/>
      <c r="K58" s="1454">
        <f t="shared" si="0"/>
        <v>42768</v>
      </c>
      <c r="L58" s="1287"/>
      <c r="M58" s="1287"/>
      <c r="N58" s="1287"/>
      <c r="O58" s="1515"/>
      <c r="P58" s="1510">
        <v>0</v>
      </c>
      <c r="Q58" s="1510"/>
      <c r="R58" s="1510"/>
      <c r="S58" s="1510"/>
      <c r="T58" s="1510">
        <f t="shared" si="3"/>
        <v>0</v>
      </c>
      <c r="U58" s="1409"/>
      <c r="V58" s="1409"/>
      <c r="W58" s="1409"/>
      <c r="X58" s="1409"/>
      <c r="Y58" s="1409"/>
      <c r="Z58" s="1409"/>
      <c r="AA58" s="1409"/>
      <c r="AB58" s="1511"/>
      <c r="AC58" s="1512"/>
      <c r="AD58" s="1512"/>
      <c r="AE58" s="1512"/>
      <c r="AF58" s="1512"/>
      <c r="AG58" s="1513"/>
      <c r="AH58" s="1513"/>
      <c r="AI58" s="1513"/>
      <c r="AJ58" s="1409"/>
      <c r="AK58" s="1409"/>
      <c r="AL58" s="1409"/>
      <c r="AM58" s="1409"/>
      <c r="AN58" s="1511"/>
      <c r="AO58" s="1510">
        <v>0</v>
      </c>
      <c r="AP58" s="1510"/>
      <c r="AQ58" s="1510"/>
      <c r="AR58" s="1510"/>
      <c r="AS58" s="1501">
        <f t="shared" si="1"/>
        <v>0</v>
      </c>
      <c r="AT58" s="1514"/>
      <c r="AU58" s="1514"/>
      <c r="AV58" s="1514"/>
      <c r="AW58" s="1409"/>
      <c r="AX58" s="1409"/>
      <c r="AY58" s="1409"/>
      <c r="AZ58" s="1409"/>
      <c r="BA58" s="1511"/>
      <c r="BB58" s="1409"/>
      <c r="BC58" s="1515"/>
      <c r="BD58" s="1516" t="s">
        <v>946</v>
      </c>
    </row>
    <row r="59" spans="1:58" ht="31" outlineLevel="1" x14ac:dyDescent="0.45">
      <c r="A59" s="1411">
        <v>8.6</v>
      </c>
      <c r="B59" s="1419" t="s">
        <v>1020</v>
      </c>
      <c r="C59" s="1507" t="s">
        <v>938</v>
      </c>
      <c r="D59" s="1507" t="str">
        <f t="shared" si="15"/>
        <v>MERC/CAPEX/20162017/01426</v>
      </c>
      <c r="E59" s="1508">
        <f t="shared" si="15"/>
        <v>42403</v>
      </c>
      <c r="F59" s="1508">
        <f t="shared" si="14"/>
        <v>42768</v>
      </c>
      <c r="G59" s="1285">
        <f>0.41*210/1210</f>
        <v>7.1157024793388424E-2</v>
      </c>
      <c r="H59" s="1285">
        <f>0.41*210/1210</f>
        <v>7.1157024793388424E-2</v>
      </c>
      <c r="I59" s="539"/>
      <c r="J59" s="539"/>
      <c r="K59" s="1454">
        <f t="shared" si="0"/>
        <v>42768</v>
      </c>
      <c r="L59" s="1287"/>
      <c r="M59" s="1287"/>
      <c r="N59" s="1287"/>
      <c r="O59" s="1515"/>
      <c r="P59" s="1510">
        <v>0</v>
      </c>
      <c r="Q59" s="1510"/>
      <c r="R59" s="1510"/>
      <c r="S59" s="1510"/>
      <c r="T59" s="1510">
        <f t="shared" si="3"/>
        <v>0</v>
      </c>
      <c r="U59" s="1409"/>
      <c r="V59" s="1409"/>
      <c r="W59" s="1409"/>
      <c r="X59" s="1409"/>
      <c r="Y59" s="1409"/>
      <c r="Z59" s="1409"/>
      <c r="AA59" s="1409"/>
      <c r="AB59" s="1511"/>
      <c r="AC59" s="1512"/>
      <c r="AD59" s="1512"/>
      <c r="AE59" s="1512"/>
      <c r="AF59" s="1512"/>
      <c r="AG59" s="1513"/>
      <c r="AH59" s="1513"/>
      <c r="AI59" s="1513"/>
      <c r="AJ59" s="1409"/>
      <c r="AK59" s="1409"/>
      <c r="AL59" s="1409"/>
      <c r="AM59" s="1409"/>
      <c r="AN59" s="1511"/>
      <c r="AO59" s="1510">
        <v>0</v>
      </c>
      <c r="AP59" s="1510"/>
      <c r="AQ59" s="1510"/>
      <c r="AR59" s="1510"/>
      <c r="AS59" s="1501">
        <f t="shared" si="1"/>
        <v>0</v>
      </c>
      <c r="AT59" s="1514"/>
      <c r="AU59" s="1514"/>
      <c r="AV59" s="1514"/>
      <c r="AW59" s="1409"/>
      <c r="AX59" s="1409"/>
      <c r="AY59" s="1409"/>
      <c r="AZ59" s="1409"/>
      <c r="BA59" s="1511"/>
      <c r="BB59" s="1409"/>
      <c r="BC59" s="1515"/>
      <c r="BD59" s="1506" t="s">
        <v>946</v>
      </c>
    </row>
    <row r="60" spans="1:58" outlineLevel="1" x14ac:dyDescent="0.45">
      <c r="A60" s="1411"/>
      <c r="B60" s="1419" t="s">
        <v>414</v>
      </c>
      <c r="C60" s="1507" t="s">
        <v>414</v>
      </c>
      <c r="D60" s="1507" t="str">
        <f t="shared" si="15"/>
        <v>MERC/CAPEX/20162017/01426</v>
      </c>
      <c r="E60" s="1508">
        <f t="shared" si="15"/>
        <v>42403</v>
      </c>
      <c r="F60" s="1508">
        <f t="shared" si="14"/>
        <v>42768</v>
      </c>
      <c r="G60" s="1285">
        <f>0.43*210/1210</f>
        <v>7.4628099173553716E-2</v>
      </c>
      <c r="H60" s="1285">
        <f>0.43*210/1210</f>
        <v>7.4628099173553716E-2</v>
      </c>
      <c r="I60" s="539"/>
      <c r="J60" s="539"/>
      <c r="K60" s="1454">
        <f t="shared" si="0"/>
        <v>42768</v>
      </c>
      <c r="L60" s="1287"/>
      <c r="M60" s="1287"/>
      <c r="N60" s="1287"/>
      <c r="O60" s="1515"/>
      <c r="P60" s="1510">
        <v>0</v>
      </c>
      <c r="Q60" s="1510"/>
      <c r="R60" s="1510"/>
      <c r="S60" s="1510"/>
      <c r="T60" s="1510">
        <f t="shared" si="3"/>
        <v>0</v>
      </c>
      <c r="U60" s="1409"/>
      <c r="V60" s="1409"/>
      <c r="W60" s="1409"/>
      <c r="X60" s="1409"/>
      <c r="Y60" s="1409"/>
      <c r="Z60" s="1409"/>
      <c r="AA60" s="1409"/>
      <c r="AB60" s="1511"/>
      <c r="AC60" s="1512"/>
      <c r="AD60" s="1512"/>
      <c r="AE60" s="1512"/>
      <c r="AF60" s="1512"/>
      <c r="AG60" s="1513"/>
      <c r="AH60" s="1513"/>
      <c r="AI60" s="1513"/>
      <c r="AJ60" s="1409"/>
      <c r="AK60" s="1409"/>
      <c r="AL60" s="1409"/>
      <c r="AM60" s="1409"/>
      <c r="AN60" s="1511"/>
      <c r="AO60" s="1510">
        <v>0</v>
      </c>
      <c r="AP60" s="1510"/>
      <c r="AQ60" s="1510"/>
      <c r="AR60" s="1510"/>
      <c r="AS60" s="1501">
        <f t="shared" si="1"/>
        <v>0</v>
      </c>
      <c r="AT60" s="1514"/>
      <c r="AU60" s="1514"/>
      <c r="AV60" s="1514"/>
      <c r="AW60" s="1409"/>
      <c r="AX60" s="1409"/>
      <c r="AY60" s="1409"/>
      <c r="AZ60" s="1409"/>
      <c r="BA60" s="1511"/>
      <c r="BB60" s="1409"/>
      <c r="BC60" s="1515"/>
      <c r="BD60" s="1506" t="s">
        <v>935</v>
      </c>
    </row>
    <row r="61" spans="1:58" s="91" customFormat="1" ht="46.5" outlineLevel="1" x14ac:dyDescent="0.3">
      <c r="A61" s="1406">
        <v>14</v>
      </c>
      <c r="B61" s="1407" t="s">
        <v>1021</v>
      </c>
      <c r="C61" s="1498" t="s">
        <v>930</v>
      </c>
      <c r="D61" s="1498" t="s">
        <v>1022</v>
      </c>
      <c r="E61" s="1499">
        <v>43605</v>
      </c>
      <c r="F61" s="1499">
        <v>43760</v>
      </c>
      <c r="G61" s="1283">
        <f>SUM(G62:G65)</f>
        <v>13.719999999999999</v>
      </c>
      <c r="H61" s="1283">
        <f>SUM(H62:H65)</f>
        <v>13.72861</v>
      </c>
      <c r="I61" s="538"/>
      <c r="J61" s="538"/>
      <c r="K61" s="1461">
        <f t="shared" si="0"/>
        <v>43760</v>
      </c>
      <c r="L61" s="1284"/>
      <c r="M61" s="1284"/>
      <c r="N61" s="1284"/>
      <c r="O61" s="1500"/>
      <c r="P61" s="1501">
        <v>0</v>
      </c>
      <c r="Q61" s="1501"/>
      <c r="R61" s="1501"/>
      <c r="S61" s="1501"/>
      <c r="T61" s="1510">
        <f t="shared" si="3"/>
        <v>0</v>
      </c>
      <c r="U61" s="1452"/>
      <c r="V61" s="1452"/>
      <c r="W61" s="1452"/>
      <c r="X61" s="1452"/>
      <c r="Y61" s="1452"/>
      <c r="Z61" s="1452"/>
      <c r="AA61" s="1452"/>
      <c r="AB61" s="1502"/>
      <c r="AC61" s="1503"/>
      <c r="AD61" s="1503"/>
      <c r="AE61" s="1503"/>
      <c r="AF61" s="1503"/>
      <c r="AG61" s="1504"/>
      <c r="AH61" s="1504"/>
      <c r="AI61" s="1504"/>
      <c r="AJ61" s="1452"/>
      <c r="AK61" s="1452"/>
      <c r="AL61" s="1452"/>
      <c r="AM61" s="1452"/>
      <c r="AN61" s="1502"/>
      <c r="AO61" s="1501"/>
      <c r="AP61" s="1501"/>
      <c r="AQ61" s="1501"/>
      <c r="AR61" s="1501"/>
      <c r="AS61" s="1501">
        <f t="shared" si="1"/>
        <v>0</v>
      </c>
      <c r="AT61" s="1505"/>
      <c r="AU61" s="1505"/>
      <c r="AV61" s="1505"/>
      <c r="AW61" s="1452"/>
      <c r="AX61" s="1452"/>
      <c r="AY61" s="1452"/>
      <c r="AZ61" s="1452"/>
      <c r="BA61" s="1502"/>
      <c r="BB61" s="1452"/>
      <c r="BC61" s="1500"/>
      <c r="BD61" s="160" t="s">
        <v>935</v>
      </c>
      <c r="BE61" s="1477"/>
      <c r="BF61" s="1491"/>
    </row>
    <row r="62" spans="1:58" ht="87" outlineLevel="1" x14ac:dyDescent="0.3">
      <c r="A62" s="1411">
        <v>14.1</v>
      </c>
      <c r="B62" s="1419" t="s">
        <v>1023</v>
      </c>
      <c r="C62" s="1507" t="s">
        <v>938</v>
      </c>
      <c r="D62" s="1507" t="str">
        <f>D61</f>
        <v>MERC/CAPEX/2019-2020/915</v>
      </c>
      <c r="E62" s="1508">
        <f>E61</f>
        <v>43605</v>
      </c>
      <c r="F62" s="1508">
        <f t="shared" ref="F62:F65" si="16">IF(F61=0,"-",F61)</f>
        <v>43760</v>
      </c>
      <c r="G62" s="1291">
        <v>5.54</v>
      </c>
      <c r="H62" s="1291">
        <v>5.54</v>
      </c>
      <c r="I62" s="539"/>
      <c r="J62" s="539"/>
      <c r="K62" s="1524">
        <f t="shared" si="0"/>
        <v>43760</v>
      </c>
      <c r="L62" s="1292">
        <v>43655</v>
      </c>
      <c r="M62" s="1292">
        <v>44126</v>
      </c>
      <c r="N62" s="1293"/>
      <c r="O62" s="1525" t="s">
        <v>1706</v>
      </c>
      <c r="P62" s="1526">
        <v>0</v>
      </c>
      <c r="Q62" s="1526">
        <v>0</v>
      </c>
      <c r="R62" s="1526">
        <v>0</v>
      </c>
      <c r="S62" s="1526">
        <v>0</v>
      </c>
      <c r="T62" s="1510">
        <f t="shared" si="3"/>
        <v>0</v>
      </c>
      <c r="U62" s="1527">
        <v>0</v>
      </c>
      <c r="V62" s="1528">
        <v>0</v>
      </c>
      <c r="W62" s="1527">
        <v>5.54</v>
      </c>
      <c r="X62" s="1527"/>
      <c r="Y62" s="1527"/>
      <c r="Z62" s="1527"/>
      <c r="AA62" s="1527"/>
      <c r="AB62" s="1529"/>
      <c r="AC62" s="1503">
        <v>0</v>
      </c>
      <c r="AD62" s="1503">
        <v>0</v>
      </c>
      <c r="AE62" s="1503">
        <v>0</v>
      </c>
      <c r="AF62" s="1503">
        <v>0</v>
      </c>
      <c r="AG62" s="1530">
        <v>0</v>
      </c>
      <c r="AH62" s="1530">
        <v>0</v>
      </c>
      <c r="AI62" s="1530">
        <v>1</v>
      </c>
      <c r="AJ62" s="1527"/>
      <c r="AK62" s="1527"/>
      <c r="AL62" s="1527"/>
      <c r="AM62" s="1527"/>
      <c r="AN62" s="1529"/>
      <c r="AO62" s="1526">
        <v>0</v>
      </c>
      <c r="AP62" s="1526">
        <v>0</v>
      </c>
      <c r="AQ62" s="1526">
        <v>0</v>
      </c>
      <c r="AR62" s="1526">
        <v>0</v>
      </c>
      <c r="AS62" s="1501">
        <f t="shared" si="1"/>
        <v>0</v>
      </c>
      <c r="AT62" s="1531"/>
      <c r="AU62" s="1532"/>
      <c r="AV62" s="1533">
        <v>5.54</v>
      </c>
      <c r="AW62" s="1527"/>
      <c r="AX62" s="1527"/>
      <c r="AY62" s="1527"/>
      <c r="AZ62" s="1527"/>
      <c r="BA62" s="1529"/>
      <c r="BB62" s="1409"/>
      <c r="BC62" s="1534" t="s">
        <v>1707</v>
      </c>
      <c r="BD62" s="160" t="s">
        <v>939</v>
      </c>
    </row>
    <row r="63" spans="1:58" ht="62" outlineLevel="1" x14ac:dyDescent="0.45">
      <c r="A63" s="1411">
        <v>14.2</v>
      </c>
      <c r="B63" s="1419" t="s">
        <v>1024</v>
      </c>
      <c r="C63" s="1507" t="s">
        <v>938</v>
      </c>
      <c r="D63" s="1507" t="str">
        <f t="shared" ref="D63:E65" si="17">D62</f>
        <v>MERC/CAPEX/2019-2020/915</v>
      </c>
      <c r="E63" s="1508">
        <f t="shared" si="17"/>
        <v>43605</v>
      </c>
      <c r="F63" s="1508">
        <f t="shared" si="16"/>
        <v>43760</v>
      </c>
      <c r="G63" s="1291">
        <v>1.71</v>
      </c>
      <c r="H63" s="1291">
        <v>1.71861</v>
      </c>
      <c r="I63" s="539"/>
      <c r="J63" s="539"/>
      <c r="K63" s="1454">
        <f t="shared" si="0"/>
        <v>43760</v>
      </c>
      <c r="L63" s="1286">
        <v>44452</v>
      </c>
      <c r="M63" s="1286">
        <v>44126</v>
      </c>
      <c r="N63" s="1286">
        <v>44466</v>
      </c>
      <c r="O63" s="1522" t="s">
        <v>1708</v>
      </c>
      <c r="P63" s="1510">
        <v>0</v>
      </c>
      <c r="Q63" s="1510">
        <v>0</v>
      </c>
      <c r="R63" s="1510">
        <v>0</v>
      </c>
      <c r="S63" s="1510">
        <f>17186100/10^7</f>
        <v>1.71861</v>
      </c>
      <c r="T63" s="1510">
        <f t="shared" si="3"/>
        <v>1.71861</v>
      </c>
      <c r="U63" s="1409"/>
      <c r="V63" s="1409"/>
      <c r="W63" s="1409"/>
      <c r="X63" s="1409"/>
      <c r="Y63" s="1409"/>
      <c r="Z63" s="1409"/>
      <c r="AA63" s="1409"/>
      <c r="AB63" s="1511"/>
      <c r="AC63" s="1512">
        <v>0</v>
      </c>
      <c r="AD63" s="1512">
        <v>0</v>
      </c>
      <c r="AE63" s="1512">
        <v>0</v>
      </c>
      <c r="AF63" s="1512">
        <v>1</v>
      </c>
      <c r="AG63" s="1513"/>
      <c r="AH63" s="1513"/>
      <c r="AI63" s="1513"/>
      <c r="AJ63" s="1409"/>
      <c r="AK63" s="1409"/>
      <c r="AL63" s="1409"/>
      <c r="AM63" s="1409"/>
      <c r="AN63" s="1511"/>
      <c r="AO63" s="1510">
        <v>0</v>
      </c>
      <c r="AP63" s="1510">
        <v>0</v>
      </c>
      <c r="AQ63" s="1510">
        <v>0</v>
      </c>
      <c r="AR63" s="1510">
        <f>17186100/10^7</f>
        <v>1.71861</v>
      </c>
      <c r="AS63" s="1501">
        <f t="shared" si="1"/>
        <v>1.71861</v>
      </c>
      <c r="AT63" s="1514"/>
      <c r="AU63" s="1514"/>
      <c r="AV63" s="1514"/>
      <c r="AW63" s="1409"/>
      <c r="AX63" s="1409"/>
      <c r="AY63" s="1409"/>
      <c r="AZ63" s="1409"/>
      <c r="BA63" s="1511"/>
      <c r="BB63" s="1409"/>
      <c r="BC63" s="1520" t="s">
        <v>1709</v>
      </c>
      <c r="BD63" s="1506" t="s">
        <v>943</v>
      </c>
    </row>
    <row r="64" spans="1:58" ht="99.5" outlineLevel="1" x14ac:dyDescent="0.45">
      <c r="A64" s="1411">
        <v>14.3</v>
      </c>
      <c r="B64" s="1419" t="s">
        <v>1025</v>
      </c>
      <c r="C64" s="1507" t="s">
        <v>938</v>
      </c>
      <c r="D64" s="1507" t="str">
        <f t="shared" si="17"/>
        <v>MERC/CAPEX/2019-2020/915</v>
      </c>
      <c r="E64" s="1508">
        <f t="shared" si="17"/>
        <v>43605</v>
      </c>
      <c r="F64" s="1508">
        <f t="shared" si="16"/>
        <v>43760</v>
      </c>
      <c r="G64" s="1291">
        <v>6.47</v>
      </c>
      <c r="H64" s="1291">
        <v>6.47</v>
      </c>
      <c r="I64" s="539"/>
      <c r="J64" s="539"/>
      <c r="K64" s="1454">
        <f t="shared" si="0"/>
        <v>43760</v>
      </c>
      <c r="L64" s="1286">
        <v>43887</v>
      </c>
      <c r="M64" s="1286">
        <v>44126</v>
      </c>
      <c r="N64" s="1286">
        <v>44762</v>
      </c>
      <c r="O64" s="1509" t="s">
        <v>1710</v>
      </c>
      <c r="P64" s="1510">
        <v>0</v>
      </c>
      <c r="Q64" s="1510">
        <f>61082700/10^7</f>
        <v>6.1082700000000001</v>
      </c>
      <c r="R64" s="1510"/>
      <c r="S64" s="1510"/>
      <c r="T64" s="1510">
        <f t="shared" si="3"/>
        <v>6.1082700000000001</v>
      </c>
      <c r="U64" s="1409"/>
      <c r="V64" s="1409"/>
      <c r="W64" s="1409"/>
      <c r="X64" s="1409"/>
      <c r="Y64" s="1409"/>
      <c r="Z64" s="1409"/>
      <c r="AA64" s="1409"/>
      <c r="AB64" s="1511"/>
      <c r="AC64" s="1512">
        <v>0</v>
      </c>
      <c r="AD64" s="1512">
        <v>1</v>
      </c>
      <c r="AE64" s="1512"/>
      <c r="AF64" s="1512"/>
      <c r="AG64" s="1513"/>
      <c r="AH64" s="1513"/>
      <c r="AI64" s="1513"/>
      <c r="AJ64" s="1409"/>
      <c r="AK64" s="1409"/>
      <c r="AL64" s="1409"/>
      <c r="AM64" s="1409"/>
      <c r="AN64" s="1511"/>
      <c r="AO64" s="1510">
        <v>0</v>
      </c>
      <c r="AP64" s="1510">
        <v>0</v>
      </c>
      <c r="AQ64" s="1510">
        <f>61082700/10^7</f>
        <v>6.1082700000000001</v>
      </c>
      <c r="AR64" s="1510"/>
      <c r="AS64" s="1501">
        <f t="shared" si="1"/>
        <v>6.1082700000000001</v>
      </c>
      <c r="AT64" s="1514"/>
      <c r="AU64" s="1514"/>
      <c r="AV64" s="1514"/>
      <c r="AW64" s="1409"/>
      <c r="AX64" s="1409"/>
      <c r="AY64" s="1409"/>
      <c r="AZ64" s="1409"/>
      <c r="BA64" s="1511"/>
      <c r="BB64" s="1409"/>
      <c r="BC64" s="1520" t="s">
        <v>1026</v>
      </c>
      <c r="BD64" s="1506" t="s">
        <v>943</v>
      </c>
    </row>
    <row r="65" spans="1:58" outlineLevel="1" x14ac:dyDescent="0.45">
      <c r="A65" s="1411"/>
      <c r="B65" s="1419" t="s">
        <v>414</v>
      </c>
      <c r="C65" s="1507" t="s">
        <v>414</v>
      </c>
      <c r="D65" s="1507" t="str">
        <f t="shared" si="17"/>
        <v>MERC/CAPEX/2019-2020/915</v>
      </c>
      <c r="E65" s="1508">
        <f t="shared" si="17"/>
        <v>43605</v>
      </c>
      <c r="F65" s="1508">
        <f t="shared" si="16"/>
        <v>43760</v>
      </c>
      <c r="G65" s="1291">
        <v>0</v>
      </c>
      <c r="H65" s="1291">
        <v>0</v>
      </c>
      <c r="I65" s="539"/>
      <c r="J65" s="539"/>
      <c r="K65" s="1454">
        <f t="shared" si="0"/>
        <v>43760</v>
      </c>
      <c r="L65" s="1287"/>
      <c r="M65" s="1287"/>
      <c r="N65" s="1287"/>
      <c r="O65" s="1515"/>
      <c r="P65" s="1510">
        <v>0</v>
      </c>
      <c r="Q65" s="1510"/>
      <c r="R65" s="1510"/>
      <c r="S65" s="1510"/>
      <c r="T65" s="1510">
        <f t="shared" si="3"/>
        <v>0</v>
      </c>
      <c r="U65" s="1409"/>
      <c r="V65" s="1409"/>
      <c r="W65" s="1409"/>
      <c r="X65" s="1409"/>
      <c r="Y65" s="1409"/>
      <c r="Z65" s="1409"/>
      <c r="AA65" s="1409"/>
      <c r="AB65" s="1511"/>
      <c r="AC65" s="1512"/>
      <c r="AD65" s="1512"/>
      <c r="AE65" s="1512"/>
      <c r="AF65" s="1512"/>
      <c r="AG65" s="1513"/>
      <c r="AH65" s="1513"/>
      <c r="AI65" s="1513"/>
      <c r="AJ65" s="1409"/>
      <c r="AK65" s="1409"/>
      <c r="AL65" s="1409"/>
      <c r="AM65" s="1409"/>
      <c r="AN65" s="1511"/>
      <c r="AO65" s="1510">
        <v>0</v>
      </c>
      <c r="AP65" s="1510"/>
      <c r="AQ65" s="1510"/>
      <c r="AR65" s="1510"/>
      <c r="AS65" s="1501">
        <f t="shared" si="1"/>
        <v>0</v>
      </c>
      <c r="AT65" s="1514"/>
      <c r="AU65" s="1514"/>
      <c r="AV65" s="1514"/>
      <c r="AW65" s="1409"/>
      <c r="AX65" s="1409"/>
      <c r="AY65" s="1409"/>
      <c r="AZ65" s="1409"/>
      <c r="BA65" s="1511"/>
      <c r="BB65" s="1409"/>
      <c r="BC65" s="1515"/>
      <c r="BD65" s="1516" t="s">
        <v>935</v>
      </c>
    </row>
    <row r="66" spans="1:58" s="91" customFormat="1" ht="62" outlineLevel="1" x14ac:dyDescent="0.3">
      <c r="A66" s="1406" t="s">
        <v>1027</v>
      </c>
      <c r="B66" s="1407" t="s">
        <v>1028</v>
      </c>
      <c r="C66" s="1498" t="s">
        <v>930</v>
      </c>
      <c r="D66" s="1498" t="s">
        <v>1029</v>
      </c>
      <c r="E66" s="1499">
        <v>41913</v>
      </c>
      <c r="F66" s="1499">
        <v>41968</v>
      </c>
      <c r="G66" s="1283">
        <f>SUM(G67)</f>
        <v>1.91</v>
      </c>
      <c r="H66" s="1283">
        <f>SUM(H67)</f>
        <v>1.91</v>
      </c>
      <c r="I66" s="538"/>
      <c r="J66" s="538"/>
      <c r="K66" s="1451">
        <f t="shared" si="0"/>
        <v>41968</v>
      </c>
      <c r="L66" s="1284"/>
      <c r="M66" s="1284"/>
      <c r="N66" s="1284"/>
      <c r="O66" s="1500"/>
      <c r="P66" s="1501">
        <v>0</v>
      </c>
      <c r="Q66" s="1501"/>
      <c r="R66" s="1501"/>
      <c r="S66" s="1501"/>
      <c r="T66" s="1510">
        <f t="shared" si="3"/>
        <v>0</v>
      </c>
      <c r="U66" s="1452"/>
      <c r="V66" s="1452"/>
      <c r="W66" s="1452"/>
      <c r="X66" s="1452"/>
      <c r="Y66" s="1452"/>
      <c r="Z66" s="1452"/>
      <c r="AA66" s="1452"/>
      <c r="AB66" s="1502"/>
      <c r="AC66" s="1503"/>
      <c r="AD66" s="1503"/>
      <c r="AE66" s="1503"/>
      <c r="AF66" s="1503"/>
      <c r="AG66" s="1504"/>
      <c r="AH66" s="1504"/>
      <c r="AI66" s="1504"/>
      <c r="AJ66" s="1452"/>
      <c r="AK66" s="1452"/>
      <c r="AL66" s="1452"/>
      <c r="AM66" s="1452"/>
      <c r="AN66" s="1502"/>
      <c r="AO66" s="1501"/>
      <c r="AP66" s="1501"/>
      <c r="AQ66" s="1501"/>
      <c r="AR66" s="1501"/>
      <c r="AS66" s="1501">
        <f t="shared" si="1"/>
        <v>0</v>
      </c>
      <c r="AT66" s="1505"/>
      <c r="AU66" s="1505"/>
      <c r="AV66" s="1505"/>
      <c r="AW66" s="1452"/>
      <c r="AX66" s="1452"/>
      <c r="AY66" s="1452"/>
      <c r="AZ66" s="1452"/>
      <c r="BA66" s="1502"/>
      <c r="BB66" s="1452"/>
      <c r="BC66" s="1500"/>
      <c r="BD66" s="1506" t="s">
        <v>935</v>
      </c>
      <c r="BE66" s="1477"/>
      <c r="BF66" s="1491"/>
    </row>
    <row r="67" spans="1:58" ht="43.5" outlineLevel="1" x14ac:dyDescent="0.45">
      <c r="A67" s="1416" t="s">
        <v>1711</v>
      </c>
      <c r="B67" s="1422" t="s">
        <v>1030</v>
      </c>
      <c r="C67" s="1517" t="s">
        <v>938</v>
      </c>
      <c r="D67" s="1517" t="str">
        <f>D66</f>
        <v>MERC/TECH 1/CAPEX/20142015/01218</v>
      </c>
      <c r="E67" s="1518">
        <f>E66</f>
        <v>41913</v>
      </c>
      <c r="F67" s="1508">
        <f>IF(F66=0,"-",F66)</f>
        <v>41968</v>
      </c>
      <c r="G67" s="1288">
        <v>1.91</v>
      </c>
      <c r="H67" s="1288">
        <v>1.91</v>
      </c>
      <c r="I67" s="539"/>
      <c r="J67" s="539"/>
      <c r="K67" s="1454">
        <f t="shared" si="0"/>
        <v>41968</v>
      </c>
      <c r="L67" s="1286">
        <v>42576</v>
      </c>
      <c r="M67" s="1286">
        <v>42699</v>
      </c>
      <c r="N67" s="1286">
        <v>43451</v>
      </c>
      <c r="O67" s="1520" t="s">
        <v>1031</v>
      </c>
      <c r="P67" s="1510">
        <v>0.69702600000000003</v>
      </c>
      <c r="Q67" s="1510"/>
      <c r="R67" s="1510"/>
      <c r="S67" s="1510"/>
      <c r="T67" s="1510">
        <f t="shared" si="3"/>
        <v>0.69702600000000003</v>
      </c>
      <c r="U67" s="1409"/>
      <c r="V67" s="1409"/>
      <c r="W67" s="1409"/>
      <c r="X67" s="1409"/>
      <c r="Y67" s="1409"/>
      <c r="Z67" s="1409"/>
      <c r="AA67" s="1409"/>
      <c r="AB67" s="1511"/>
      <c r="AC67" s="1512">
        <v>1</v>
      </c>
      <c r="AD67" s="1512"/>
      <c r="AE67" s="1512"/>
      <c r="AF67" s="1512"/>
      <c r="AG67" s="1513"/>
      <c r="AH67" s="1513"/>
      <c r="AI67" s="1513"/>
      <c r="AJ67" s="1409"/>
      <c r="AK67" s="1409"/>
      <c r="AL67" s="1409"/>
      <c r="AM67" s="1409"/>
      <c r="AN67" s="1511"/>
      <c r="AO67" s="1510">
        <v>0.69702600000000003</v>
      </c>
      <c r="AP67" s="1510"/>
      <c r="AQ67" s="1510"/>
      <c r="AR67" s="1510"/>
      <c r="AS67" s="1501">
        <f t="shared" si="1"/>
        <v>0.69702600000000003</v>
      </c>
      <c r="AT67" s="1514"/>
      <c r="AU67" s="1514"/>
      <c r="AV67" s="1514"/>
      <c r="AW67" s="1409"/>
      <c r="AX67" s="1409"/>
      <c r="AY67" s="1409"/>
      <c r="AZ67" s="1409"/>
      <c r="BA67" s="1511"/>
      <c r="BB67" s="1409"/>
      <c r="BC67" s="1509" t="s">
        <v>1032</v>
      </c>
      <c r="BD67" s="1516" t="s">
        <v>943</v>
      </c>
    </row>
    <row r="68" spans="1:58" s="91" customFormat="1" ht="62" outlineLevel="1" x14ac:dyDescent="0.3">
      <c r="A68" s="1406" t="s">
        <v>1033</v>
      </c>
      <c r="B68" s="1407" t="s">
        <v>1034</v>
      </c>
      <c r="C68" s="1498" t="s">
        <v>930</v>
      </c>
      <c r="D68" s="1498" t="s">
        <v>1035</v>
      </c>
      <c r="E68" s="1499">
        <v>42403</v>
      </c>
      <c r="F68" s="1499">
        <v>42585</v>
      </c>
      <c r="G68" s="1283">
        <f>SUM(G69)</f>
        <v>2.6515053428571429</v>
      </c>
      <c r="H68" s="1283">
        <f>SUM(H69)</f>
        <v>1.3257526714285714</v>
      </c>
      <c r="I68" s="538"/>
      <c r="J68" s="538"/>
      <c r="K68" s="1451">
        <f t="shared" si="0"/>
        <v>42585</v>
      </c>
      <c r="L68" s="1284"/>
      <c r="M68" s="1284"/>
      <c r="N68" s="1284"/>
      <c r="O68" s="1500"/>
      <c r="P68" s="1501"/>
      <c r="Q68" s="1501"/>
      <c r="R68" s="1501"/>
      <c r="S68" s="1501"/>
      <c r="T68" s="1510">
        <f t="shared" si="3"/>
        <v>0</v>
      </c>
      <c r="U68" s="1452"/>
      <c r="V68" s="1452"/>
      <c r="W68" s="1452"/>
      <c r="X68" s="1452"/>
      <c r="Y68" s="1452"/>
      <c r="Z68" s="1452"/>
      <c r="AA68" s="1452"/>
      <c r="AB68" s="1502"/>
      <c r="AC68" s="1503"/>
      <c r="AD68" s="1503"/>
      <c r="AE68" s="1503"/>
      <c r="AF68" s="1503"/>
      <c r="AG68" s="1504"/>
      <c r="AH68" s="1504"/>
      <c r="AI68" s="1504"/>
      <c r="AJ68" s="1452"/>
      <c r="AK68" s="1452"/>
      <c r="AL68" s="1452"/>
      <c r="AM68" s="1452"/>
      <c r="AN68" s="1502"/>
      <c r="AO68" s="1501"/>
      <c r="AP68" s="1501"/>
      <c r="AQ68" s="1501"/>
      <c r="AR68" s="1501"/>
      <c r="AS68" s="1501">
        <f t="shared" si="1"/>
        <v>0</v>
      </c>
      <c r="AT68" s="1505"/>
      <c r="AU68" s="1505"/>
      <c r="AV68" s="1505"/>
      <c r="AW68" s="1452"/>
      <c r="AX68" s="1452"/>
      <c r="AY68" s="1452"/>
      <c r="AZ68" s="1452"/>
      <c r="BA68" s="1502"/>
      <c r="BB68" s="1452"/>
      <c r="BC68" s="1500"/>
      <c r="BD68" s="1506" t="s">
        <v>935</v>
      </c>
      <c r="BE68" s="1477"/>
      <c r="BF68" s="1491"/>
    </row>
    <row r="69" spans="1:58" ht="43.5" outlineLevel="1" x14ac:dyDescent="0.45">
      <c r="A69" s="1416" t="s">
        <v>1712</v>
      </c>
      <c r="B69" s="1422" t="s">
        <v>1036</v>
      </c>
      <c r="C69" s="1517" t="s">
        <v>938</v>
      </c>
      <c r="D69" s="1517" t="str">
        <f>D68</f>
        <v>MERC/CAPEX/20162017/00423</v>
      </c>
      <c r="E69" s="1535">
        <f>E68</f>
        <v>42403</v>
      </c>
      <c r="F69" s="1508">
        <f>IF(F68=0,"-",F68)</f>
        <v>42585</v>
      </c>
      <c r="G69" s="1294">
        <v>2.6515053428571429</v>
      </c>
      <c r="H69" s="1288">
        <f>G69/2</f>
        <v>1.3257526714285714</v>
      </c>
      <c r="I69" s="539"/>
      <c r="J69" s="539"/>
      <c r="K69" s="1454">
        <f t="shared" si="0"/>
        <v>42585</v>
      </c>
      <c r="L69" s="1286">
        <v>43496</v>
      </c>
      <c r="M69" s="1286">
        <v>43315</v>
      </c>
      <c r="N69" s="1286">
        <v>43621</v>
      </c>
      <c r="O69" s="1509" t="s">
        <v>1037</v>
      </c>
      <c r="P69" s="1510">
        <v>0</v>
      </c>
      <c r="Q69" s="1536">
        <f>(28151999/10^7)/3*1</f>
        <v>0.9383999666666667</v>
      </c>
      <c r="R69" s="1510"/>
      <c r="S69" s="1510"/>
      <c r="T69" s="1510">
        <f t="shared" si="3"/>
        <v>0.9383999666666667</v>
      </c>
      <c r="U69" s="1409"/>
      <c r="V69" s="1409"/>
      <c r="W69" s="1409"/>
      <c r="X69" s="1409"/>
      <c r="Y69" s="1409"/>
      <c r="Z69" s="1409"/>
      <c r="AA69" s="1409"/>
      <c r="AB69" s="1511"/>
      <c r="AC69" s="1512"/>
      <c r="AD69" s="1512">
        <v>1</v>
      </c>
      <c r="AE69" s="1512"/>
      <c r="AF69" s="1512"/>
      <c r="AG69" s="1513"/>
      <c r="AH69" s="1513"/>
      <c r="AI69" s="1513"/>
      <c r="AJ69" s="1409"/>
      <c r="AK69" s="1409"/>
      <c r="AL69" s="1409"/>
      <c r="AM69" s="1409"/>
      <c r="AN69" s="1511"/>
      <c r="AO69" s="1510">
        <v>0</v>
      </c>
      <c r="AP69" s="1536">
        <f>(28151999/10^7)/3*1</f>
        <v>0.9383999666666667</v>
      </c>
      <c r="AQ69" s="1510"/>
      <c r="AR69" s="1510"/>
      <c r="AS69" s="1501">
        <f t="shared" si="1"/>
        <v>0.9383999666666667</v>
      </c>
      <c r="AT69" s="1514"/>
      <c r="AU69" s="1514"/>
      <c r="AV69" s="1514"/>
      <c r="AW69" s="1409"/>
      <c r="AX69" s="1409"/>
      <c r="AY69" s="1409"/>
      <c r="AZ69" s="1409"/>
      <c r="BA69" s="1511"/>
      <c r="BB69" s="1409"/>
      <c r="BC69" s="1509" t="s">
        <v>1038</v>
      </c>
      <c r="BD69" s="1516" t="s">
        <v>943</v>
      </c>
    </row>
    <row r="70" spans="1:58" s="91" customFormat="1" ht="31" outlineLevel="1" x14ac:dyDescent="0.3">
      <c r="A70" s="1406" t="s">
        <v>1039</v>
      </c>
      <c r="B70" s="1407" t="s">
        <v>1040</v>
      </c>
      <c r="C70" s="1498" t="s">
        <v>930</v>
      </c>
      <c r="D70" s="1498" t="s">
        <v>1041</v>
      </c>
      <c r="E70" s="1499">
        <v>42608</v>
      </c>
      <c r="F70" s="1499">
        <v>42643</v>
      </c>
      <c r="G70" s="1283">
        <f>SUM(G71)</f>
        <v>0</v>
      </c>
      <c r="H70" s="1283">
        <f>SUM(H71)</f>
        <v>0</v>
      </c>
      <c r="I70" s="538"/>
      <c r="J70" s="538"/>
      <c r="K70" s="1451">
        <f t="shared" si="0"/>
        <v>42643</v>
      </c>
      <c r="L70" s="1284"/>
      <c r="M70" s="1284"/>
      <c r="N70" s="1284"/>
      <c r="O70" s="1500"/>
      <c r="P70" s="1501"/>
      <c r="Q70" s="1501"/>
      <c r="R70" s="1501"/>
      <c r="S70" s="1501"/>
      <c r="T70" s="1510">
        <f t="shared" si="3"/>
        <v>0</v>
      </c>
      <c r="U70" s="1452"/>
      <c r="V70" s="1452"/>
      <c r="W70" s="1452"/>
      <c r="X70" s="1452"/>
      <c r="Y70" s="1452"/>
      <c r="Z70" s="1452"/>
      <c r="AA70" s="1452"/>
      <c r="AB70" s="1502"/>
      <c r="AC70" s="1503"/>
      <c r="AD70" s="1503"/>
      <c r="AE70" s="1503"/>
      <c r="AF70" s="1503"/>
      <c r="AG70" s="1504"/>
      <c r="AH70" s="1504"/>
      <c r="AI70" s="1504"/>
      <c r="AJ70" s="1452"/>
      <c r="AK70" s="1452"/>
      <c r="AL70" s="1452"/>
      <c r="AM70" s="1452"/>
      <c r="AN70" s="1502"/>
      <c r="AO70" s="1501"/>
      <c r="AP70" s="1501"/>
      <c r="AQ70" s="1501"/>
      <c r="AR70" s="1501"/>
      <c r="AS70" s="1501">
        <f t="shared" si="1"/>
        <v>0</v>
      </c>
      <c r="AT70" s="1505"/>
      <c r="AU70" s="1505"/>
      <c r="AV70" s="1505"/>
      <c r="AW70" s="1452"/>
      <c r="AX70" s="1452"/>
      <c r="AY70" s="1452"/>
      <c r="AZ70" s="1452"/>
      <c r="BA70" s="1502"/>
      <c r="BB70" s="1452"/>
      <c r="BC70" s="1500"/>
      <c r="BD70" s="1506" t="s">
        <v>935</v>
      </c>
      <c r="BE70" s="1477"/>
      <c r="BF70" s="1491"/>
    </row>
    <row r="71" spans="1:58" ht="31" outlineLevel="1" x14ac:dyDescent="0.45">
      <c r="A71" s="1416" t="s">
        <v>1713</v>
      </c>
      <c r="B71" s="1422" t="s">
        <v>1042</v>
      </c>
      <c r="C71" s="1517" t="s">
        <v>938</v>
      </c>
      <c r="D71" s="1517" t="str">
        <f>D70</f>
        <v>MERC/CAPEX/20162017/00774</v>
      </c>
      <c r="E71" s="1535">
        <f>E70</f>
        <v>42608</v>
      </c>
      <c r="F71" s="1508">
        <f>IF(F70=0,"-",F70)</f>
        <v>42643</v>
      </c>
      <c r="G71" s="1288"/>
      <c r="H71" s="1288"/>
      <c r="I71" s="539"/>
      <c r="J71" s="539"/>
      <c r="K71" s="1454">
        <f t="shared" si="0"/>
        <v>42643</v>
      </c>
      <c r="L71" s="1287"/>
      <c r="M71" s="1287"/>
      <c r="N71" s="1287"/>
      <c r="O71" s="1515"/>
      <c r="P71" s="1510">
        <v>0</v>
      </c>
      <c r="Q71" s="1510"/>
      <c r="R71" s="1510"/>
      <c r="S71" s="1510"/>
      <c r="T71" s="1510">
        <f t="shared" si="3"/>
        <v>0</v>
      </c>
      <c r="U71" s="1409"/>
      <c r="V71" s="1409"/>
      <c r="W71" s="1409"/>
      <c r="X71" s="1409"/>
      <c r="Y71" s="1409"/>
      <c r="Z71" s="1409"/>
      <c r="AA71" s="1409"/>
      <c r="AB71" s="1511"/>
      <c r="AC71" s="1512"/>
      <c r="AD71" s="1512"/>
      <c r="AE71" s="1512"/>
      <c r="AF71" s="1512"/>
      <c r="AG71" s="1513"/>
      <c r="AH71" s="1513"/>
      <c r="AI71" s="1513"/>
      <c r="AJ71" s="1409"/>
      <c r="AK71" s="1409"/>
      <c r="AL71" s="1409"/>
      <c r="AM71" s="1409"/>
      <c r="AN71" s="1511"/>
      <c r="AO71" s="1510">
        <v>0</v>
      </c>
      <c r="AP71" s="1510"/>
      <c r="AQ71" s="1510"/>
      <c r="AR71" s="1510"/>
      <c r="AS71" s="1501">
        <f t="shared" si="1"/>
        <v>0</v>
      </c>
      <c r="AT71" s="1514"/>
      <c r="AU71" s="1514"/>
      <c r="AV71" s="1514"/>
      <c r="AW71" s="1409"/>
      <c r="AX71" s="1409"/>
      <c r="AY71" s="1409"/>
      <c r="AZ71" s="1409"/>
      <c r="BA71" s="1511"/>
      <c r="BB71" s="539"/>
      <c r="BC71" s="1515"/>
      <c r="BD71" s="1516" t="s">
        <v>947</v>
      </c>
    </row>
    <row r="72" spans="1:58" s="91" customFormat="1" ht="46.5" outlineLevel="1" x14ac:dyDescent="0.3">
      <c r="A72" s="1424" t="s">
        <v>1714</v>
      </c>
      <c r="B72" s="1425" t="s">
        <v>1715</v>
      </c>
      <c r="C72" s="1537" t="s">
        <v>930</v>
      </c>
      <c r="D72" s="1537" t="s">
        <v>1716</v>
      </c>
      <c r="E72" s="1538">
        <v>43343</v>
      </c>
      <c r="F72" s="1538">
        <v>44604</v>
      </c>
      <c r="G72" s="1295">
        <f>SUM(G73:G74)</f>
        <v>113.91</v>
      </c>
      <c r="H72" s="1295">
        <f>SUM(H73:H74)</f>
        <v>57</v>
      </c>
      <c r="I72" s="1296"/>
      <c r="J72" s="1296"/>
      <c r="K72" s="1538">
        <f t="shared" si="0"/>
        <v>44604</v>
      </c>
      <c r="L72" s="1297"/>
      <c r="M72" s="1297"/>
      <c r="N72" s="1297"/>
      <c r="O72" s="1539"/>
      <c r="P72" s="1540"/>
      <c r="Q72" s="1540"/>
      <c r="R72" s="1540"/>
      <c r="S72" s="1540"/>
      <c r="T72" s="673">
        <f t="shared" si="3"/>
        <v>0</v>
      </c>
      <c r="U72" s="1540"/>
      <c r="V72" s="1540"/>
      <c r="W72" s="1540"/>
      <c r="X72" s="1540"/>
      <c r="Y72" s="1540"/>
      <c r="Z72" s="1540"/>
      <c r="AA72" s="1540"/>
      <c r="AB72" s="1541"/>
      <c r="AC72" s="1530"/>
      <c r="AD72" s="1530"/>
      <c r="AE72" s="1530"/>
      <c r="AF72" s="1530"/>
      <c r="AG72" s="1530"/>
      <c r="AH72" s="1530"/>
      <c r="AI72" s="1530"/>
      <c r="AJ72" s="1540"/>
      <c r="AK72" s="1540"/>
      <c r="AL72" s="1540"/>
      <c r="AM72" s="1540"/>
      <c r="AN72" s="1541"/>
      <c r="AO72" s="1540"/>
      <c r="AP72" s="1540"/>
      <c r="AQ72" s="1540"/>
      <c r="AR72" s="1540"/>
      <c r="AS72" s="1540">
        <f t="shared" si="1"/>
        <v>0</v>
      </c>
      <c r="AT72" s="1542"/>
      <c r="AU72" s="1542"/>
      <c r="AV72" s="1542"/>
      <c r="AW72" s="1540"/>
      <c r="AX72" s="1540"/>
      <c r="AY72" s="1540"/>
      <c r="AZ72" s="1540"/>
      <c r="BA72" s="1541"/>
      <c r="BB72" s="1540"/>
      <c r="BC72" s="1539"/>
      <c r="BD72" s="1543" t="s">
        <v>935</v>
      </c>
      <c r="BE72" s="1477"/>
      <c r="BF72" s="1491"/>
    </row>
    <row r="73" spans="1:58" ht="46.5" outlineLevel="1" x14ac:dyDescent="0.45">
      <c r="A73" s="1430" t="s">
        <v>1717</v>
      </c>
      <c r="B73" s="1431" t="s">
        <v>1715</v>
      </c>
      <c r="C73" s="1544" t="s">
        <v>938</v>
      </c>
      <c r="D73" s="1544" t="str">
        <f t="shared" ref="D73:F74" si="18">D72</f>
        <v>MERC/CAPEX/2021-2022/MSPGCL/063</v>
      </c>
      <c r="E73" s="1545">
        <f t="shared" si="18"/>
        <v>43343</v>
      </c>
      <c r="F73" s="1545">
        <f t="shared" si="18"/>
        <v>44604</v>
      </c>
      <c r="G73" s="1298">
        <v>108.48</v>
      </c>
      <c r="H73" s="1298">
        <f>G73/2</f>
        <v>54.24</v>
      </c>
      <c r="I73" s="529"/>
      <c r="J73" s="529"/>
      <c r="K73" s="1545">
        <f t="shared" si="0"/>
        <v>44604</v>
      </c>
      <c r="L73" s="1299"/>
      <c r="M73" s="1299"/>
      <c r="N73" s="1300"/>
      <c r="O73" s="1546"/>
      <c r="P73" s="673"/>
      <c r="Q73" s="673"/>
      <c r="R73" s="673"/>
      <c r="S73" s="673"/>
      <c r="T73" s="673">
        <f t="shared" si="3"/>
        <v>0</v>
      </c>
      <c r="U73" s="673"/>
      <c r="V73" s="1528"/>
      <c r="W73" s="673"/>
      <c r="X73" s="673"/>
      <c r="Y73" s="673"/>
      <c r="Z73" s="673"/>
      <c r="AA73" s="673"/>
      <c r="AB73" s="1547"/>
      <c r="AC73" s="1548"/>
      <c r="AD73" s="1548"/>
      <c r="AE73" s="1548"/>
      <c r="AF73" s="1548"/>
      <c r="AG73" s="1548"/>
      <c r="AH73" s="1548"/>
      <c r="AI73" s="1548"/>
      <c r="AJ73" s="673"/>
      <c r="AK73" s="673"/>
      <c r="AL73" s="673"/>
      <c r="AM73" s="673"/>
      <c r="AN73" s="1547"/>
      <c r="AO73" s="673">
        <v>0</v>
      </c>
      <c r="AP73" s="673">
        <v>0</v>
      </c>
      <c r="AQ73" s="673">
        <v>0</v>
      </c>
      <c r="AR73" s="673">
        <v>0</v>
      </c>
      <c r="AS73" s="1540">
        <f t="shared" si="1"/>
        <v>0</v>
      </c>
      <c r="AT73" s="1549"/>
      <c r="AU73" s="1532"/>
      <c r="AV73" s="1549"/>
      <c r="AW73" s="673"/>
      <c r="AX73" s="673"/>
      <c r="AY73" s="673"/>
      <c r="AZ73" s="673"/>
      <c r="BA73" s="1547"/>
      <c r="BB73" s="673"/>
      <c r="BC73" s="1550"/>
      <c r="BD73" s="1543" t="s">
        <v>950</v>
      </c>
    </row>
    <row r="74" spans="1:58" outlineLevel="1" x14ac:dyDescent="0.45">
      <c r="A74" s="1433"/>
      <c r="B74" s="1431" t="s">
        <v>414</v>
      </c>
      <c r="C74" s="1544" t="s">
        <v>414</v>
      </c>
      <c r="D74" s="1544" t="str">
        <f t="shared" si="18"/>
        <v>MERC/CAPEX/2021-2022/MSPGCL/063</v>
      </c>
      <c r="E74" s="1545">
        <f t="shared" si="18"/>
        <v>43343</v>
      </c>
      <c r="F74" s="1545">
        <f t="shared" si="18"/>
        <v>44604</v>
      </c>
      <c r="G74" s="1298">
        <v>5.43</v>
      </c>
      <c r="H74" s="1298">
        <v>2.76</v>
      </c>
      <c r="I74" s="529"/>
      <c r="J74" s="529"/>
      <c r="K74" s="1545">
        <f t="shared" si="0"/>
        <v>44604</v>
      </c>
      <c r="L74" s="1299"/>
      <c r="M74" s="1299"/>
      <c r="N74" s="1300"/>
      <c r="O74" s="1546"/>
      <c r="P74" s="673"/>
      <c r="Q74" s="673"/>
      <c r="R74" s="673"/>
      <c r="S74" s="673"/>
      <c r="T74" s="673">
        <f t="shared" si="3"/>
        <v>0</v>
      </c>
      <c r="U74" s="673"/>
      <c r="V74" s="1528"/>
      <c r="W74" s="673"/>
      <c r="X74" s="673"/>
      <c r="Y74" s="673"/>
      <c r="Z74" s="673"/>
      <c r="AA74" s="673"/>
      <c r="AB74" s="1547"/>
      <c r="AC74" s="1548"/>
      <c r="AD74" s="1548"/>
      <c r="AE74" s="1548"/>
      <c r="AF74" s="1548"/>
      <c r="AG74" s="1548"/>
      <c r="AH74" s="1548"/>
      <c r="AI74" s="1548"/>
      <c r="AJ74" s="673"/>
      <c r="AK74" s="673"/>
      <c r="AL74" s="673"/>
      <c r="AM74" s="673"/>
      <c r="AN74" s="1547"/>
      <c r="AO74" s="673">
        <v>0</v>
      </c>
      <c r="AP74" s="673">
        <v>0</v>
      </c>
      <c r="AQ74" s="673">
        <v>0</v>
      </c>
      <c r="AR74" s="673">
        <v>0</v>
      </c>
      <c r="AS74" s="1540">
        <f t="shared" si="1"/>
        <v>0</v>
      </c>
      <c r="AT74" s="1549"/>
      <c r="AU74" s="1532"/>
      <c r="AV74" s="1549"/>
      <c r="AW74" s="673"/>
      <c r="AX74" s="673"/>
      <c r="AY74" s="673"/>
      <c r="AZ74" s="673"/>
      <c r="BA74" s="1547"/>
      <c r="BB74" s="673"/>
      <c r="BC74" s="1550"/>
      <c r="BD74" s="1543" t="s">
        <v>950</v>
      </c>
    </row>
    <row r="75" spans="1:58" s="91" customFormat="1" ht="31" outlineLevel="1" x14ac:dyDescent="0.3">
      <c r="A75" s="1424" t="s">
        <v>1718</v>
      </c>
      <c r="B75" s="1425" t="s">
        <v>1719</v>
      </c>
      <c r="C75" s="1537" t="s">
        <v>930</v>
      </c>
      <c r="D75" s="1537" t="s">
        <v>1720</v>
      </c>
      <c r="E75" s="1538">
        <v>45013</v>
      </c>
      <c r="F75" s="1538">
        <v>45232</v>
      </c>
      <c r="G75" s="1295">
        <f>SUM(G76:G77)</f>
        <v>69.308999999999997</v>
      </c>
      <c r="H75" s="1295">
        <f>SUM(H76:H77)</f>
        <v>69.308999999999997</v>
      </c>
      <c r="I75" s="1296"/>
      <c r="J75" s="1296"/>
      <c r="K75" s="1538">
        <f t="shared" si="0"/>
        <v>45232</v>
      </c>
      <c r="L75" s="1297"/>
      <c r="M75" s="1297"/>
      <c r="N75" s="1297"/>
      <c r="O75" s="1539"/>
      <c r="P75" s="1540"/>
      <c r="Q75" s="1540"/>
      <c r="R75" s="1540"/>
      <c r="S75" s="1540"/>
      <c r="T75" s="673">
        <f t="shared" si="3"/>
        <v>0</v>
      </c>
      <c r="U75" s="1540"/>
      <c r="V75" s="1540"/>
      <c r="W75" s="1540"/>
      <c r="X75" s="1540"/>
      <c r="Y75" s="1540"/>
      <c r="Z75" s="1540"/>
      <c r="AA75" s="1540"/>
      <c r="AB75" s="1541"/>
      <c r="AC75" s="1530"/>
      <c r="AD75" s="1530"/>
      <c r="AE75" s="1530"/>
      <c r="AF75" s="1530"/>
      <c r="AG75" s="1530"/>
      <c r="AH75" s="1530"/>
      <c r="AI75" s="1530"/>
      <c r="AJ75" s="1540"/>
      <c r="AK75" s="1540"/>
      <c r="AL75" s="1540"/>
      <c r="AM75" s="1540"/>
      <c r="AN75" s="1541"/>
      <c r="AO75" s="1540"/>
      <c r="AP75" s="1540"/>
      <c r="AQ75" s="1540"/>
      <c r="AR75" s="1540"/>
      <c r="AS75" s="1540">
        <f t="shared" ref="AS75:AS99" si="19">SUM(AO75:AR75)</f>
        <v>0</v>
      </c>
      <c r="AT75" s="1542"/>
      <c r="AU75" s="1542"/>
      <c r="AV75" s="1542"/>
      <c r="AW75" s="1540"/>
      <c r="AX75" s="1540"/>
      <c r="AY75" s="1540"/>
      <c r="AZ75" s="1540"/>
      <c r="BA75" s="1541"/>
      <c r="BB75" s="1540"/>
      <c r="BC75" s="1539"/>
      <c r="BD75" s="1543" t="s">
        <v>935</v>
      </c>
      <c r="BE75" s="1477"/>
      <c r="BF75" s="1491"/>
    </row>
    <row r="76" spans="1:58" ht="47.25" customHeight="1" outlineLevel="1" x14ac:dyDescent="0.45">
      <c r="A76" s="1430" t="s">
        <v>1721</v>
      </c>
      <c r="B76" s="1431" t="s">
        <v>1719</v>
      </c>
      <c r="C76" s="1544" t="s">
        <v>938</v>
      </c>
      <c r="D76" s="1544" t="str">
        <f>D75</f>
        <v>MERC/CAPEX/MSPGCL/2023-24/0576</v>
      </c>
      <c r="E76" s="1545">
        <f t="shared" ref="E76:F77" si="20">E75</f>
        <v>45013</v>
      </c>
      <c r="F76" s="1545">
        <f t="shared" si="20"/>
        <v>45232</v>
      </c>
      <c r="G76" s="1298">
        <v>66.009</v>
      </c>
      <c r="H76" s="1298">
        <v>66.009</v>
      </c>
      <c r="I76" s="529"/>
      <c r="J76" s="529"/>
      <c r="K76" s="1545">
        <f t="shared" ref="K76:K77" si="21">IF(F76=0,"-",F76)</f>
        <v>45232</v>
      </c>
      <c r="L76" s="1299"/>
      <c r="M76" s="1299"/>
      <c r="N76" s="1300"/>
      <c r="O76" s="1546"/>
      <c r="P76" s="673"/>
      <c r="Q76" s="673"/>
      <c r="R76" s="673"/>
      <c r="S76" s="673"/>
      <c r="T76" s="673">
        <f t="shared" ref="T76:T99" si="22">SUM(P76:S76)</f>
        <v>0</v>
      </c>
      <c r="U76" s="673"/>
      <c r="V76" s="1528"/>
      <c r="W76" s="673"/>
      <c r="X76" s="673"/>
      <c r="Y76" s="673"/>
      <c r="Z76" s="673"/>
      <c r="AA76" s="673"/>
      <c r="AB76" s="1547"/>
      <c r="AC76" s="1548"/>
      <c r="AD76" s="1548"/>
      <c r="AE76" s="1548"/>
      <c r="AF76" s="1548"/>
      <c r="AG76" s="1548"/>
      <c r="AH76" s="1548"/>
      <c r="AI76" s="1548"/>
      <c r="AJ76" s="673"/>
      <c r="AK76" s="673"/>
      <c r="AL76" s="673"/>
      <c r="AM76" s="673"/>
      <c r="AN76" s="1547"/>
      <c r="AO76" s="673"/>
      <c r="AP76" s="673"/>
      <c r="AQ76" s="673"/>
      <c r="AR76" s="673"/>
      <c r="AS76" s="1540">
        <f t="shared" si="19"/>
        <v>0</v>
      </c>
      <c r="AT76" s="1549"/>
      <c r="AU76" s="1532"/>
      <c r="AV76" s="1549"/>
      <c r="AW76" s="673"/>
      <c r="AX76" s="673"/>
      <c r="AY76" s="673"/>
      <c r="AZ76" s="673"/>
      <c r="BA76" s="1547"/>
      <c r="BB76" s="673"/>
      <c r="BC76" s="1550"/>
      <c r="BD76" s="1543" t="s">
        <v>950</v>
      </c>
    </row>
    <row r="77" spans="1:58" outlineLevel="1" x14ac:dyDescent="0.45">
      <c r="A77" s="1433"/>
      <c r="B77" s="1431" t="s">
        <v>414</v>
      </c>
      <c r="C77" s="1544" t="s">
        <v>414</v>
      </c>
      <c r="D77" s="1544" t="str">
        <f>D76</f>
        <v>MERC/CAPEX/MSPGCL/2023-24/0576</v>
      </c>
      <c r="E77" s="1545">
        <f t="shared" si="20"/>
        <v>45013</v>
      </c>
      <c r="F77" s="1545">
        <f t="shared" si="20"/>
        <v>45232</v>
      </c>
      <c r="G77" s="1298">
        <v>3.3</v>
      </c>
      <c r="H77" s="1298">
        <v>3.3</v>
      </c>
      <c r="I77" s="529"/>
      <c r="J77" s="529"/>
      <c r="K77" s="1545">
        <f t="shared" si="21"/>
        <v>45232</v>
      </c>
      <c r="L77" s="1299"/>
      <c r="M77" s="1299"/>
      <c r="N77" s="1300"/>
      <c r="O77" s="1546"/>
      <c r="P77" s="673"/>
      <c r="Q77" s="673"/>
      <c r="R77" s="673"/>
      <c r="S77" s="673"/>
      <c r="T77" s="673">
        <f t="shared" si="22"/>
        <v>0</v>
      </c>
      <c r="U77" s="673"/>
      <c r="V77" s="1528"/>
      <c r="W77" s="673"/>
      <c r="X77" s="673"/>
      <c r="Y77" s="673"/>
      <c r="Z77" s="673"/>
      <c r="AA77" s="673"/>
      <c r="AB77" s="1547"/>
      <c r="AC77" s="1548"/>
      <c r="AD77" s="1548"/>
      <c r="AE77" s="1548"/>
      <c r="AF77" s="1548"/>
      <c r="AG77" s="1548"/>
      <c r="AH77" s="1548"/>
      <c r="AI77" s="1548"/>
      <c r="AJ77" s="673"/>
      <c r="AK77" s="673"/>
      <c r="AL77" s="673"/>
      <c r="AM77" s="673"/>
      <c r="AN77" s="1547"/>
      <c r="AO77" s="673"/>
      <c r="AP77" s="673"/>
      <c r="AQ77" s="673"/>
      <c r="AR77" s="673"/>
      <c r="AS77" s="1540">
        <f t="shared" si="19"/>
        <v>0</v>
      </c>
      <c r="AT77" s="1549"/>
      <c r="AU77" s="1532"/>
      <c r="AV77" s="1549"/>
      <c r="AW77" s="673"/>
      <c r="AX77" s="673"/>
      <c r="AY77" s="673"/>
      <c r="AZ77" s="673"/>
      <c r="BA77" s="1547"/>
      <c r="BB77" s="673"/>
      <c r="BC77" s="1550"/>
      <c r="BD77" s="1543" t="s">
        <v>935</v>
      </c>
    </row>
    <row r="78" spans="1:58" x14ac:dyDescent="0.45">
      <c r="A78" s="1433"/>
      <c r="B78" s="1431"/>
      <c r="C78" s="1544"/>
      <c r="D78" s="1544"/>
      <c r="E78" s="1545"/>
      <c r="F78" s="1545"/>
      <c r="G78" s="1298"/>
      <c r="H78" s="1298"/>
      <c r="I78" s="529"/>
      <c r="J78" s="529"/>
      <c r="K78" s="1545"/>
      <c r="L78" s="1299"/>
      <c r="M78" s="1299"/>
      <c r="N78" s="1300"/>
      <c r="O78" s="1546"/>
      <c r="P78" s="673"/>
      <c r="Q78" s="673"/>
      <c r="R78" s="673"/>
      <c r="S78" s="673"/>
      <c r="T78" s="673">
        <f t="shared" si="22"/>
        <v>0</v>
      </c>
      <c r="U78" s="673"/>
      <c r="V78" s="1528"/>
      <c r="W78" s="673"/>
      <c r="X78" s="673"/>
      <c r="Y78" s="673"/>
      <c r="Z78" s="673"/>
      <c r="AA78" s="673"/>
      <c r="AB78" s="1547"/>
      <c r="AC78" s="1548"/>
      <c r="AD78" s="1548"/>
      <c r="AE78" s="1548"/>
      <c r="AF78" s="1548"/>
      <c r="AG78" s="1548"/>
      <c r="AH78" s="1548"/>
      <c r="AI78" s="1548"/>
      <c r="AJ78" s="673"/>
      <c r="AK78" s="673"/>
      <c r="AL78" s="673"/>
      <c r="AM78" s="673"/>
      <c r="AN78" s="1547"/>
      <c r="AO78" s="673"/>
      <c r="AP78" s="673"/>
      <c r="AQ78" s="673"/>
      <c r="AR78" s="673"/>
      <c r="AS78" s="1540">
        <f t="shared" si="19"/>
        <v>0</v>
      </c>
      <c r="AT78" s="1549"/>
      <c r="AU78" s="1532"/>
      <c r="AV78" s="1549"/>
      <c r="AW78" s="673"/>
      <c r="AX78" s="673"/>
      <c r="AY78" s="673"/>
      <c r="AZ78" s="673"/>
      <c r="BA78" s="1547"/>
      <c r="BB78" s="673"/>
      <c r="BC78" s="1550"/>
      <c r="BD78" s="1543"/>
    </row>
    <row r="79" spans="1:58" x14ac:dyDescent="0.45">
      <c r="A79" s="1433"/>
      <c r="B79" s="1431"/>
      <c r="C79" s="1544"/>
      <c r="D79" s="1544"/>
      <c r="E79" s="1545"/>
      <c r="F79" s="1545"/>
      <c r="G79" s="1298"/>
      <c r="H79" s="1298"/>
      <c r="I79" s="529"/>
      <c r="J79" s="529"/>
      <c r="K79" s="1545"/>
      <c r="L79" s="1299"/>
      <c r="M79" s="1299"/>
      <c r="N79" s="1300"/>
      <c r="O79" s="1546"/>
      <c r="P79" s="673"/>
      <c r="Q79" s="673"/>
      <c r="R79" s="673"/>
      <c r="S79" s="673"/>
      <c r="T79" s="673">
        <f t="shared" si="22"/>
        <v>0</v>
      </c>
      <c r="U79" s="673"/>
      <c r="V79" s="1528"/>
      <c r="W79" s="673"/>
      <c r="X79" s="673"/>
      <c r="Y79" s="673"/>
      <c r="Z79" s="673"/>
      <c r="AA79" s="673"/>
      <c r="AB79" s="1547"/>
      <c r="AC79" s="1548"/>
      <c r="AD79" s="1548"/>
      <c r="AE79" s="1548"/>
      <c r="AF79" s="1548"/>
      <c r="AG79" s="1548"/>
      <c r="AH79" s="1548"/>
      <c r="AI79" s="1548"/>
      <c r="AJ79" s="673"/>
      <c r="AK79" s="673"/>
      <c r="AL79" s="673"/>
      <c r="AM79" s="673"/>
      <c r="AN79" s="1547"/>
      <c r="AO79" s="673"/>
      <c r="AP79" s="673"/>
      <c r="AQ79" s="673"/>
      <c r="AR79" s="673"/>
      <c r="AS79" s="1540">
        <f t="shared" si="19"/>
        <v>0</v>
      </c>
      <c r="AT79" s="1549"/>
      <c r="AU79" s="1532"/>
      <c r="AV79" s="1549"/>
      <c r="AW79" s="673"/>
      <c r="AX79" s="673"/>
      <c r="AY79" s="673"/>
      <c r="AZ79" s="673"/>
      <c r="BA79" s="1547"/>
      <c r="BB79" s="673"/>
      <c r="BC79" s="1550"/>
      <c r="BD79" s="1543"/>
    </row>
    <row r="80" spans="1:58" x14ac:dyDescent="0.45">
      <c r="A80" s="1280"/>
      <c r="B80" s="1282" t="s">
        <v>1722</v>
      </c>
      <c r="C80" s="9"/>
      <c r="D80" s="127"/>
      <c r="E80" s="1292"/>
      <c r="F80" s="1292"/>
      <c r="G80" s="9"/>
      <c r="H80" s="9"/>
      <c r="I80" s="9"/>
      <c r="J80" s="9"/>
      <c r="K80" s="1293"/>
      <c r="L80" s="1293"/>
      <c r="M80" s="1293"/>
      <c r="N80" s="1293"/>
      <c r="O80" s="9"/>
      <c r="P80" s="428"/>
      <c r="Q80" s="428"/>
      <c r="R80" s="428"/>
      <c r="S80" s="428"/>
      <c r="T80" s="1510">
        <f t="shared" si="22"/>
        <v>0</v>
      </c>
      <c r="U80" s="428"/>
      <c r="V80" s="428"/>
      <c r="W80" s="428"/>
      <c r="X80" s="428"/>
      <c r="Y80" s="428"/>
      <c r="Z80" s="428"/>
      <c r="AA80" s="428"/>
      <c r="AB80" s="1496"/>
      <c r="AC80" s="1497"/>
      <c r="AD80" s="1497"/>
      <c r="AE80" s="1497"/>
      <c r="AF80" s="1497"/>
      <c r="AG80" s="1497"/>
      <c r="AH80" s="1497"/>
      <c r="AI80" s="1497"/>
      <c r="AJ80" s="428"/>
      <c r="AK80" s="428"/>
      <c r="AL80" s="428"/>
      <c r="AM80" s="428"/>
      <c r="AN80" s="1496"/>
      <c r="AO80" s="428"/>
      <c r="AP80" s="428"/>
      <c r="AQ80" s="428"/>
      <c r="AR80" s="428"/>
      <c r="AS80" s="1501">
        <f t="shared" si="19"/>
        <v>0</v>
      </c>
      <c r="AT80" s="428"/>
      <c r="AU80" s="428"/>
      <c r="AV80" s="428"/>
      <c r="AW80" s="428"/>
      <c r="AX80" s="428"/>
      <c r="AY80" s="428"/>
      <c r="AZ80" s="428"/>
      <c r="BA80" s="1496"/>
      <c r="BB80" s="428"/>
      <c r="BC80" s="9"/>
      <c r="BD80" s="160"/>
    </row>
    <row r="81" spans="1:56" x14ac:dyDescent="0.45">
      <c r="A81" s="1280"/>
      <c r="B81" s="1282"/>
      <c r="C81" s="9"/>
      <c r="D81" s="127"/>
      <c r="E81" s="1292"/>
      <c r="F81" s="1292"/>
      <c r="G81" s="9"/>
      <c r="H81" s="9"/>
      <c r="I81" s="9"/>
      <c r="J81" s="9"/>
      <c r="K81" s="1293"/>
      <c r="L81" s="1293"/>
      <c r="M81" s="1293"/>
      <c r="N81" s="1293"/>
      <c r="O81" s="9"/>
      <c r="P81" s="428"/>
      <c r="Q81" s="428"/>
      <c r="R81" s="428"/>
      <c r="S81" s="428"/>
      <c r="T81" s="1510">
        <f t="shared" si="22"/>
        <v>0</v>
      </c>
      <c r="U81" s="428"/>
      <c r="V81" s="428"/>
      <c r="W81" s="428"/>
      <c r="X81" s="428"/>
      <c r="Y81" s="428"/>
      <c r="Z81" s="428"/>
      <c r="AA81" s="428"/>
      <c r="AB81" s="1496"/>
      <c r="AC81" s="1497"/>
      <c r="AD81" s="1497"/>
      <c r="AE81" s="1497"/>
      <c r="AF81" s="1497"/>
      <c r="AG81" s="1497"/>
      <c r="AH81" s="1497"/>
      <c r="AI81" s="1497"/>
      <c r="AJ81" s="428"/>
      <c r="AK81" s="428"/>
      <c r="AL81" s="428"/>
      <c r="AM81" s="428"/>
      <c r="AN81" s="1496"/>
      <c r="AO81" s="428"/>
      <c r="AP81" s="428"/>
      <c r="AQ81" s="428"/>
      <c r="AR81" s="428"/>
      <c r="AS81" s="1501">
        <f t="shared" si="19"/>
        <v>0</v>
      </c>
      <c r="AT81" s="428"/>
      <c r="AU81" s="428"/>
      <c r="AV81" s="428"/>
      <c r="AW81" s="428"/>
      <c r="AX81" s="428"/>
      <c r="AY81" s="428"/>
      <c r="AZ81" s="428"/>
      <c r="BA81" s="1496"/>
      <c r="BB81" s="428"/>
      <c r="BC81" s="9"/>
      <c r="BD81" s="160"/>
    </row>
    <row r="82" spans="1:56" x14ac:dyDescent="0.45">
      <c r="A82" s="1301"/>
      <c r="B82" s="1282" t="s">
        <v>1043</v>
      </c>
      <c r="C82" s="265"/>
      <c r="D82" s="1302"/>
      <c r="E82" s="1303"/>
      <c r="F82" s="1551"/>
      <c r="G82" s="265"/>
      <c r="H82" s="265"/>
      <c r="I82" s="539"/>
      <c r="J82" s="539"/>
      <c r="K82" s="1524" t="str">
        <f t="shared" ref="K82:K101" si="23">IF(F82=0,"-",F82)</f>
        <v>-</v>
      </c>
      <c r="L82" s="1293"/>
      <c r="M82" s="1293"/>
      <c r="N82" s="1293"/>
      <c r="O82" s="9"/>
      <c r="P82" s="443"/>
      <c r="Q82" s="443"/>
      <c r="R82" s="443"/>
      <c r="S82" s="443"/>
      <c r="T82" s="1510">
        <f t="shared" si="22"/>
        <v>0</v>
      </c>
      <c r="U82" s="343"/>
      <c r="V82" s="343"/>
      <c r="W82" s="343"/>
      <c r="X82" s="343"/>
      <c r="Y82" s="343"/>
      <c r="Z82" s="343"/>
      <c r="AA82" s="343"/>
      <c r="AB82" s="1552"/>
      <c r="AC82" s="1553"/>
      <c r="AD82" s="1553"/>
      <c r="AE82" s="1553"/>
      <c r="AF82" s="1553"/>
      <c r="AG82" s="1554"/>
      <c r="AH82" s="1554"/>
      <c r="AI82" s="1554"/>
      <c r="AJ82" s="343"/>
      <c r="AK82" s="343"/>
      <c r="AL82" s="343"/>
      <c r="AM82" s="343"/>
      <c r="AN82" s="1552"/>
      <c r="AO82" s="443"/>
      <c r="AP82" s="443"/>
      <c r="AQ82" s="443"/>
      <c r="AR82" s="443"/>
      <c r="AS82" s="1501">
        <f t="shared" si="19"/>
        <v>0</v>
      </c>
      <c r="AT82" s="428"/>
      <c r="AU82" s="428"/>
      <c r="AV82" s="428"/>
      <c r="AW82" s="343"/>
      <c r="AX82" s="343"/>
      <c r="AY82" s="343"/>
      <c r="AZ82" s="343"/>
      <c r="BA82" s="1552"/>
      <c r="BB82" s="9"/>
      <c r="BC82" s="9"/>
      <c r="BD82" s="1555"/>
    </row>
    <row r="83" spans="1:56" s="1307" customFormat="1" ht="30.25" customHeight="1" outlineLevel="1" x14ac:dyDescent="0.3">
      <c r="A83" s="1304"/>
      <c r="B83" s="1305" t="s">
        <v>1068</v>
      </c>
      <c r="C83" s="1304"/>
      <c r="D83" s="1304"/>
      <c r="E83" s="1306"/>
      <c r="F83" s="1306"/>
      <c r="G83" s="1304"/>
      <c r="H83" s="1304"/>
      <c r="I83" s="1304"/>
      <c r="J83" s="1304"/>
      <c r="K83" s="1306"/>
      <c r="L83" s="1306"/>
      <c r="M83" s="1306"/>
      <c r="N83" s="1306"/>
      <c r="O83" s="1556"/>
      <c r="P83" s="1557"/>
      <c r="Q83" s="1557"/>
      <c r="R83" s="1557"/>
      <c r="S83" s="1557"/>
      <c r="T83" s="1510">
        <f t="shared" si="22"/>
        <v>0</v>
      </c>
      <c r="U83" s="1557"/>
      <c r="V83" s="1557"/>
      <c r="W83" s="1557"/>
      <c r="X83" s="1557"/>
      <c r="Y83" s="1557"/>
      <c r="Z83" s="1557"/>
      <c r="AA83" s="1557"/>
      <c r="AB83" s="1557"/>
      <c r="AC83" s="1558"/>
      <c r="AD83" s="1558"/>
      <c r="AE83" s="1558"/>
      <c r="AF83" s="1558"/>
      <c r="AG83" s="1558"/>
      <c r="AH83" s="1558"/>
      <c r="AI83" s="1558"/>
      <c r="AJ83" s="1558"/>
      <c r="AK83" s="1558"/>
      <c r="AL83" s="1558"/>
      <c r="AM83" s="1558"/>
      <c r="AN83" s="1558"/>
      <c r="AO83" s="1557"/>
      <c r="AP83" s="1557"/>
      <c r="AQ83" s="1557"/>
      <c r="AR83" s="1557"/>
      <c r="AS83" s="1501">
        <f t="shared" si="19"/>
        <v>0</v>
      </c>
      <c r="AT83" s="1557"/>
      <c r="AU83" s="1557"/>
      <c r="AV83" s="1557"/>
      <c r="AW83" s="1557"/>
      <c r="AX83" s="1557"/>
      <c r="AY83" s="1557"/>
      <c r="AZ83" s="1557"/>
      <c r="BA83" s="1557"/>
      <c r="BB83" s="1557"/>
      <c r="BC83" s="1559"/>
      <c r="BD83" s="1556"/>
    </row>
    <row r="84" spans="1:56" s="1312" customFormat="1" ht="30.25" customHeight="1" outlineLevel="1" x14ac:dyDescent="0.3">
      <c r="A84" s="1308">
        <v>1</v>
      </c>
      <c r="B84" s="1425" t="s">
        <v>1723</v>
      </c>
      <c r="C84" s="1560" t="s">
        <v>930</v>
      </c>
      <c r="D84" s="1309"/>
      <c r="E84" s="1310"/>
      <c r="F84" s="1310"/>
      <c r="G84" s="1561"/>
      <c r="H84" s="1309"/>
      <c r="I84" s="1309"/>
      <c r="J84" s="1309"/>
      <c r="K84" s="1310"/>
      <c r="L84" s="1310"/>
      <c r="M84" s="1310"/>
      <c r="N84" s="1310"/>
      <c r="O84" s="1309"/>
      <c r="P84" s="1562"/>
      <c r="Q84" s="1562"/>
      <c r="R84" s="1562"/>
      <c r="S84" s="1562"/>
      <c r="T84" s="1510">
        <f t="shared" si="22"/>
        <v>0</v>
      </c>
      <c r="U84" s="1562"/>
      <c r="V84" s="1562"/>
      <c r="W84" s="1562"/>
      <c r="X84" s="1561"/>
      <c r="Y84" s="1563"/>
      <c r="Z84" s="1562"/>
      <c r="AA84" s="1562"/>
      <c r="AB84" s="1562"/>
      <c r="AC84" s="1564"/>
      <c r="AD84" s="1564"/>
      <c r="AE84" s="1564"/>
      <c r="AF84" s="1564"/>
      <c r="AG84" s="1564"/>
      <c r="AH84" s="1564"/>
      <c r="AI84" s="1564"/>
      <c r="AJ84" s="1564"/>
      <c r="AK84" s="1564"/>
      <c r="AL84" s="1564"/>
      <c r="AM84" s="1564"/>
      <c r="AN84" s="1564"/>
      <c r="AO84" s="1562"/>
      <c r="AP84" s="1562"/>
      <c r="AQ84" s="1562"/>
      <c r="AR84" s="1562"/>
      <c r="AS84" s="1501">
        <f t="shared" si="19"/>
        <v>0</v>
      </c>
      <c r="AT84" s="1562"/>
      <c r="AU84" s="1562"/>
      <c r="AV84" s="1562"/>
      <c r="AW84" s="1562"/>
      <c r="AX84" s="1563"/>
      <c r="AY84" s="1562"/>
      <c r="AZ84" s="1562"/>
      <c r="BA84" s="1562"/>
      <c r="BB84" s="1562"/>
      <c r="BC84" s="1562"/>
      <c r="BD84" s="1311"/>
    </row>
    <row r="85" spans="1:56" s="1312" customFormat="1" ht="31" outlineLevel="1" x14ac:dyDescent="0.3">
      <c r="A85" s="1313">
        <v>1.1000000000000001</v>
      </c>
      <c r="B85" s="1431" t="s">
        <v>1723</v>
      </c>
      <c r="C85" s="1565" t="s">
        <v>938</v>
      </c>
      <c r="D85" s="1309"/>
      <c r="E85" s="1310"/>
      <c r="F85" s="1310"/>
      <c r="G85" s="1566"/>
      <c r="H85" s="1309"/>
      <c r="I85" s="1309"/>
      <c r="J85" s="1309"/>
      <c r="K85" s="1310"/>
      <c r="L85" s="1310"/>
      <c r="M85" s="1310"/>
      <c r="N85" s="1310"/>
      <c r="O85" s="1309"/>
      <c r="P85" s="1562"/>
      <c r="Q85" s="1562"/>
      <c r="R85" s="1562"/>
      <c r="S85" s="1562"/>
      <c r="T85" s="1510">
        <f t="shared" si="22"/>
        <v>0</v>
      </c>
      <c r="U85" s="1562"/>
      <c r="V85" s="1562"/>
      <c r="W85" s="1562"/>
      <c r="X85" s="1566"/>
      <c r="Y85" s="1567">
        <v>398</v>
      </c>
      <c r="Z85" s="1562"/>
      <c r="AA85" s="1562"/>
      <c r="AB85" s="1562"/>
      <c r="AC85" s="1564"/>
      <c r="AD85" s="1564"/>
      <c r="AE85" s="1564"/>
      <c r="AF85" s="1564"/>
      <c r="AG85" s="1564"/>
      <c r="AH85" s="1564"/>
      <c r="AI85" s="1564"/>
      <c r="AJ85" s="1564"/>
      <c r="AK85" s="1568">
        <v>1</v>
      </c>
      <c r="AL85" s="1564"/>
      <c r="AM85" s="1564"/>
      <c r="AN85" s="1564"/>
      <c r="AO85" s="1562"/>
      <c r="AP85" s="1562"/>
      <c r="AQ85" s="1562"/>
      <c r="AR85" s="1562"/>
      <c r="AS85" s="1501">
        <f t="shared" si="19"/>
        <v>0</v>
      </c>
      <c r="AT85" s="1562"/>
      <c r="AU85" s="1562"/>
      <c r="AV85" s="1562"/>
      <c r="AW85" s="1562"/>
      <c r="AX85" s="1567">
        <v>398</v>
      </c>
      <c r="AY85" s="1562"/>
      <c r="AZ85" s="1562"/>
      <c r="BA85" s="1562"/>
      <c r="BB85" s="1562"/>
      <c r="BC85" s="1562"/>
      <c r="BD85" s="1311"/>
    </row>
    <row r="86" spans="1:56" x14ac:dyDescent="0.45">
      <c r="A86" s="1301"/>
      <c r="B86" s="265"/>
      <c r="C86" s="265"/>
      <c r="D86" s="1302"/>
      <c r="E86" s="1303"/>
      <c r="F86" s="1551"/>
      <c r="G86" s="265"/>
      <c r="H86" s="265"/>
      <c r="I86" s="539"/>
      <c r="J86" s="539"/>
      <c r="K86" s="1524" t="str">
        <f t="shared" si="23"/>
        <v>-</v>
      </c>
      <c r="L86" s="1293"/>
      <c r="M86" s="1293"/>
      <c r="N86" s="1293"/>
      <c r="O86" s="9"/>
      <c r="P86" s="443"/>
      <c r="Q86" s="443"/>
      <c r="R86" s="443"/>
      <c r="S86" s="443"/>
      <c r="T86" s="1510">
        <f t="shared" si="22"/>
        <v>0</v>
      </c>
      <c r="U86" s="343"/>
      <c r="V86" s="343"/>
      <c r="W86" s="343"/>
      <c r="X86" s="343"/>
      <c r="Y86" s="343"/>
      <c r="Z86" s="343"/>
      <c r="AA86" s="343"/>
      <c r="AB86" s="1552"/>
      <c r="AC86" s="1553"/>
      <c r="AD86" s="1553"/>
      <c r="AE86" s="1553"/>
      <c r="AF86" s="1553"/>
      <c r="AG86" s="1554"/>
      <c r="AH86" s="1554"/>
      <c r="AI86" s="1554"/>
      <c r="AJ86" s="343"/>
      <c r="AK86" s="343"/>
      <c r="AL86" s="343"/>
      <c r="AM86" s="343"/>
      <c r="AN86" s="1552"/>
      <c r="AO86" s="443"/>
      <c r="AP86" s="443"/>
      <c r="AQ86" s="443"/>
      <c r="AR86" s="443"/>
      <c r="AS86" s="1501">
        <f t="shared" si="19"/>
        <v>0</v>
      </c>
      <c r="AT86" s="428"/>
      <c r="AU86" s="428"/>
      <c r="AV86" s="428"/>
      <c r="AW86" s="343"/>
      <c r="AX86" s="343"/>
      <c r="AY86" s="343"/>
      <c r="AZ86" s="343"/>
      <c r="BA86" s="1552"/>
      <c r="BB86" s="9"/>
      <c r="BC86" s="9"/>
      <c r="BD86" s="1555"/>
    </row>
    <row r="87" spans="1:56" x14ac:dyDescent="0.45">
      <c r="A87" s="1301"/>
      <c r="B87" s="1314" t="s">
        <v>1044</v>
      </c>
      <c r="C87" s="265"/>
      <c r="D87" s="1302"/>
      <c r="E87" s="1303"/>
      <c r="F87" s="1551"/>
      <c r="G87" s="265"/>
      <c r="H87" s="265"/>
      <c r="I87" s="539"/>
      <c r="J87" s="539"/>
      <c r="K87" s="1454" t="str">
        <f t="shared" si="23"/>
        <v>-</v>
      </c>
      <c r="L87" s="1287"/>
      <c r="M87" s="1287"/>
      <c r="N87" s="1287"/>
      <c r="O87" s="1515"/>
      <c r="P87" s="443"/>
      <c r="Q87" s="443"/>
      <c r="R87" s="443"/>
      <c r="S87" s="443"/>
      <c r="T87" s="1510">
        <f t="shared" si="22"/>
        <v>0</v>
      </c>
      <c r="U87" s="343"/>
      <c r="V87" s="343"/>
      <c r="W87" s="343"/>
      <c r="X87" s="343"/>
      <c r="Y87" s="343"/>
      <c r="Z87" s="343"/>
      <c r="AA87" s="343"/>
      <c r="AB87" s="1552"/>
      <c r="AC87" s="1553"/>
      <c r="AD87" s="1553"/>
      <c r="AE87" s="1553"/>
      <c r="AF87" s="1553"/>
      <c r="AG87" s="1554"/>
      <c r="AH87" s="1554"/>
      <c r="AI87" s="1554"/>
      <c r="AJ87" s="343"/>
      <c r="AK87" s="343"/>
      <c r="AL87" s="343"/>
      <c r="AM87" s="343"/>
      <c r="AN87" s="1552"/>
      <c r="AO87" s="443"/>
      <c r="AP87" s="443"/>
      <c r="AQ87" s="443"/>
      <c r="AR87" s="443"/>
      <c r="AS87" s="1501">
        <f t="shared" si="19"/>
        <v>0</v>
      </c>
      <c r="AT87" s="428"/>
      <c r="AU87" s="428"/>
      <c r="AV87" s="428"/>
      <c r="AW87" s="343"/>
      <c r="AX87" s="343"/>
      <c r="AY87" s="343"/>
      <c r="AZ87" s="343"/>
      <c r="BA87" s="1552"/>
      <c r="BB87" s="9"/>
      <c r="BC87" s="9"/>
      <c r="BD87" s="1555"/>
    </row>
    <row r="88" spans="1:56" ht="43.5" outlineLevel="1" x14ac:dyDescent="0.45">
      <c r="A88" s="1301">
        <v>1</v>
      </c>
      <c r="B88" s="1315" t="s">
        <v>1045</v>
      </c>
      <c r="C88" s="1316"/>
      <c r="D88" s="1317"/>
      <c r="E88" s="1318"/>
      <c r="F88" s="1508"/>
      <c r="G88" s="1316"/>
      <c r="H88" s="1316"/>
      <c r="I88" s="539"/>
      <c r="J88" s="539"/>
      <c r="K88" s="1454" t="str">
        <f t="shared" si="23"/>
        <v>-</v>
      </c>
      <c r="L88" s="1287"/>
      <c r="M88" s="1287"/>
      <c r="N88" s="1287"/>
      <c r="O88" s="1515"/>
      <c r="P88" s="1510"/>
      <c r="Q88" s="1510">
        <f>18000900/10^7</f>
        <v>1.80009</v>
      </c>
      <c r="R88" s="1510"/>
      <c r="S88" s="1510"/>
      <c r="T88" s="1510">
        <f t="shared" si="22"/>
        <v>1.80009</v>
      </c>
      <c r="U88" s="673"/>
      <c r="V88" s="673"/>
      <c r="W88" s="673"/>
      <c r="X88" s="673"/>
      <c r="Y88" s="673"/>
      <c r="Z88" s="673"/>
      <c r="AA88" s="673"/>
      <c r="AB88" s="1547"/>
      <c r="AC88" s="1512"/>
      <c r="AD88" s="1512"/>
      <c r="AE88" s="1512"/>
      <c r="AF88" s="1512"/>
      <c r="AG88" s="1548"/>
      <c r="AH88" s="1548"/>
      <c r="AI88" s="1548"/>
      <c r="AJ88" s="673"/>
      <c r="AK88" s="673"/>
      <c r="AL88" s="673"/>
      <c r="AM88" s="673"/>
      <c r="AN88" s="1547"/>
      <c r="AO88" s="1510"/>
      <c r="AP88" s="1510">
        <f>18000900/10^7</f>
        <v>1.80009</v>
      </c>
      <c r="AQ88" s="1510"/>
      <c r="AR88" s="1510"/>
      <c r="AS88" s="1501">
        <f t="shared" si="19"/>
        <v>1.80009</v>
      </c>
      <c r="AT88" s="1549"/>
      <c r="AU88" s="1549"/>
      <c r="AV88" s="1549"/>
      <c r="AW88" s="673"/>
      <c r="AX88" s="673"/>
      <c r="AY88" s="673"/>
      <c r="AZ88" s="673"/>
      <c r="BA88" s="1547"/>
      <c r="BB88" s="529"/>
      <c r="BC88" s="1546"/>
      <c r="BD88" s="160"/>
    </row>
    <row r="89" spans="1:56" outlineLevel="1" x14ac:dyDescent="0.45">
      <c r="A89" s="1301">
        <v>2</v>
      </c>
      <c r="B89" s="265" t="s">
        <v>1046</v>
      </c>
      <c r="C89" s="1316"/>
      <c r="D89" s="1317"/>
      <c r="E89" s="1318"/>
      <c r="F89" s="1508"/>
      <c r="G89" s="1316"/>
      <c r="H89" s="1316"/>
      <c r="I89" s="539"/>
      <c r="J89" s="539"/>
      <c r="K89" s="1454" t="str">
        <f t="shared" si="23"/>
        <v>-</v>
      </c>
      <c r="L89" s="1287"/>
      <c r="M89" s="1287"/>
      <c r="N89" s="1287"/>
      <c r="O89" s="1515"/>
      <c r="P89" s="1510"/>
      <c r="Q89" s="1510"/>
      <c r="R89" s="1510"/>
      <c r="S89" s="1510">
        <f>319681/10^7</f>
        <v>3.1968099999999999E-2</v>
      </c>
      <c r="T89" s="1510">
        <f t="shared" si="22"/>
        <v>3.1968099999999999E-2</v>
      </c>
      <c r="U89" s="673"/>
      <c r="V89" s="673"/>
      <c r="W89" s="673"/>
      <c r="X89" s="673"/>
      <c r="Y89" s="673"/>
      <c r="Z89" s="673"/>
      <c r="AA89" s="673"/>
      <c r="AB89" s="1547"/>
      <c r="AC89" s="1512"/>
      <c r="AD89" s="1512"/>
      <c r="AE89" s="1512"/>
      <c r="AF89" s="1512"/>
      <c r="AG89" s="1548"/>
      <c r="AH89" s="1548"/>
      <c r="AI89" s="1548"/>
      <c r="AJ89" s="673"/>
      <c r="AK89" s="673"/>
      <c r="AL89" s="673"/>
      <c r="AM89" s="673"/>
      <c r="AN89" s="1547"/>
      <c r="AO89" s="1510"/>
      <c r="AP89" s="1510"/>
      <c r="AQ89" s="1510"/>
      <c r="AR89" s="1510">
        <f>319681/10^7</f>
        <v>3.1968099999999999E-2</v>
      </c>
      <c r="AS89" s="1501">
        <f t="shared" si="19"/>
        <v>3.1968099999999999E-2</v>
      </c>
      <c r="AT89" s="1549"/>
      <c r="AU89" s="1549"/>
      <c r="AV89" s="1549"/>
      <c r="AW89" s="673"/>
      <c r="AX89" s="673"/>
      <c r="AY89" s="673"/>
      <c r="AZ89" s="673"/>
      <c r="BA89" s="1547"/>
      <c r="BB89" s="529"/>
      <c r="BC89" s="1546"/>
      <c r="BD89" s="1555"/>
    </row>
    <row r="90" spans="1:56" outlineLevel="1" x14ac:dyDescent="0.45">
      <c r="A90" s="1301">
        <v>3</v>
      </c>
      <c r="B90" s="265" t="s">
        <v>1047</v>
      </c>
      <c r="C90" s="1316"/>
      <c r="D90" s="1317"/>
      <c r="E90" s="1318"/>
      <c r="F90" s="1508"/>
      <c r="G90" s="1316"/>
      <c r="H90" s="1316"/>
      <c r="I90" s="539"/>
      <c r="J90" s="539"/>
      <c r="K90" s="1454" t="str">
        <f t="shared" si="23"/>
        <v>-</v>
      </c>
      <c r="L90" s="1287"/>
      <c r="M90" s="1287"/>
      <c r="N90" s="1287"/>
      <c r="O90" s="1515"/>
      <c r="P90" s="1510"/>
      <c r="Q90" s="1510"/>
      <c r="R90" s="1510">
        <f>645297/10^7</f>
        <v>6.4529699999999995E-2</v>
      </c>
      <c r="S90" s="1510"/>
      <c r="T90" s="1510">
        <f t="shared" si="22"/>
        <v>6.4529699999999995E-2</v>
      </c>
      <c r="U90" s="673"/>
      <c r="V90" s="673"/>
      <c r="W90" s="673"/>
      <c r="X90" s="673"/>
      <c r="Y90" s="673"/>
      <c r="Z90" s="673"/>
      <c r="AA90" s="673"/>
      <c r="AB90" s="1547"/>
      <c r="AC90" s="1512"/>
      <c r="AD90" s="1512"/>
      <c r="AE90" s="1512"/>
      <c r="AF90" s="1512"/>
      <c r="AG90" s="1548"/>
      <c r="AH90" s="1548"/>
      <c r="AI90" s="1548"/>
      <c r="AJ90" s="673"/>
      <c r="AK90" s="673"/>
      <c r="AL90" s="673"/>
      <c r="AM90" s="673"/>
      <c r="AN90" s="1547"/>
      <c r="AO90" s="1510"/>
      <c r="AP90" s="1510"/>
      <c r="AQ90" s="1510">
        <f>645297/10^7</f>
        <v>6.4529699999999995E-2</v>
      </c>
      <c r="AR90" s="1510"/>
      <c r="AS90" s="1501">
        <f t="shared" si="19"/>
        <v>6.4529699999999995E-2</v>
      </c>
      <c r="AT90" s="1549"/>
      <c r="AU90" s="1549"/>
      <c r="AV90" s="1549"/>
      <c r="AW90" s="673"/>
      <c r="AX90" s="673"/>
      <c r="AY90" s="673"/>
      <c r="AZ90" s="673"/>
      <c r="BA90" s="1547"/>
      <c r="BB90" s="529"/>
      <c r="BC90" s="1546"/>
      <c r="BD90" s="1555"/>
    </row>
    <row r="91" spans="1:56" outlineLevel="1" x14ac:dyDescent="0.45">
      <c r="A91" s="1301">
        <v>4</v>
      </c>
      <c r="B91" s="817" t="s">
        <v>1048</v>
      </c>
      <c r="C91" s="1316"/>
      <c r="D91" s="1317"/>
      <c r="E91" s="1318"/>
      <c r="F91" s="1508"/>
      <c r="G91" s="1316"/>
      <c r="H91" s="1316"/>
      <c r="I91" s="539"/>
      <c r="J91" s="539"/>
      <c r="K91" s="1454" t="str">
        <f t="shared" si="23"/>
        <v>-</v>
      </c>
      <c r="L91" s="1287"/>
      <c r="M91" s="1287"/>
      <c r="N91" s="1287"/>
      <c r="O91" s="1515"/>
      <c r="P91" s="1510"/>
      <c r="Q91" s="1510">
        <f>220896/10^7</f>
        <v>2.2089600000000001E-2</v>
      </c>
      <c r="R91" s="1510"/>
      <c r="S91" s="1510"/>
      <c r="T91" s="1510">
        <f t="shared" si="22"/>
        <v>2.2089600000000001E-2</v>
      </c>
      <c r="U91" s="673"/>
      <c r="V91" s="673"/>
      <c r="W91" s="673"/>
      <c r="X91" s="673"/>
      <c r="Y91" s="673"/>
      <c r="Z91" s="673"/>
      <c r="AA91" s="673"/>
      <c r="AB91" s="1547"/>
      <c r="AC91" s="1512"/>
      <c r="AD91" s="1512"/>
      <c r="AE91" s="1512"/>
      <c r="AF91" s="1512"/>
      <c r="AG91" s="1548"/>
      <c r="AH91" s="1548"/>
      <c r="AI91" s="1548"/>
      <c r="AJ91" s="673"/>
      <c r="AK91" s="673"/>
      <c r="AL91" s="673"/>
      <c r="AM91" s="673"/>
      <c r="AN91" s="1547"/>
      <c r="AO91" s="1510"/>
      <c r="AP91" s="1510">
        <f>220896/10^7</f>
        <v>2.2089600000000001E-2</v>
      </c>
      <c r="AQ91" s="1510"/>
      <c r="AR91" s="1510"/>
      <c r="AS91" s="1501">
        <f t="shared" si="19"/>
        <v>2.2089600000000001E-2</v>
      </c>
      <c r="AT91" s="1549"/>
      <c r="AU91" s="1549"/>
      <c r="AV91" s="1549"/>
      <c r="AW91" s="673"/>
      <c r="AX91" s="673"/>
      <c r="AY91" s="673"/>
      <c r="AZ91" s="673"/>
      <c r="BA91" s="1547"/>
      <c r="BB91" s="529"/>
      <c r="BC91" s="1546"/>
      <c r="BD91" s="1555"/>
    </row>
    <row r="92" spans="1:56" outlineLevel="1" x14ac:dyDescent="0.45">
      <c r="A92" s="1301">
        <v>5</v>
      </c>
      <c r="B92" s="817" t="s">
        <v>1049</v>
      </c>
      <c r="C92" s="1316"/>
      <c r="D92" s="1317"/>
      <c r="E92" s="1318"/>
      <c r="F92" s="1508"/>
      <c r="G92" s="1316"/>
      <c r="H92" s="1316"/>
      <c r="I92" s="539"/>
      <c r="J92" s="539"/>
      <c r="K92" s="1454" t="str">
        <f t="shared" si="23"/>
        <v>-</v>
      </c>
      <c r="L92" s="1287"/>
      <c r="M92" s="1287"/>
      <c r="N92" s="1287"/>
      <c r="O92" s="1515"/>
      <c r="P92" s="1510"/>
      <c r="Q92" s="1510">
        <f>6069666.67/10^7</f>
        <v>0.60696666700000002</v>
      </c>
      <c r="R92" s="1510"/>
      <c r="S92" s="1510"/>
      <c r="T92" s="1510">
        <f t="shared" si="22"/>
        <v>0.60696666700000002</v>
      </c>
      <c r="U92" s="673"/>
      <c r="V92" s="673"/>
      <c r="W92" s="673"/>
      <c r="X92" s="673"/>
      <c r="Y92" s="673"/>
      <c r="Z92" s="673"/>
      <c r="AA92" s="673"/>
      <c r="AB92" s="1547"/>
      <c r="AC92" s="1512"/>
      <c r="AD92" s="1512"/>
      <c r="AE92" s="1512"/>
      <c r="AF92" s="1512"/>
      <c r="AG92" s="1548"/>
      <c r="AH92" s="1548"/>
      <c r="AI92" s="1548"/>
      <c r="AJ92" s="673"/>
      <c r="AK92" s="673"/>
      <c r="AL92" s="673"/>
      <c r="AM92" s="673"/>
      <c r="AN92" s="1547"/>
      <c r="AO92" s="1510"/>
      <c r="AP92" s="1510">
        <f>6069666.67/10^7</f>
        <v>0.60696666700000002</v>
      </c>
      <c r="AQ92" s="1510"/>
      <c r="AR92" s="1510"/>
      <c r="AS92" s="1501">
        <f t="shared" si="19"/>
        <v>0.60696666700000002</v>
      </c>
      <c r="AT92" s="1549"/>
      <c r="AU92" s="1549"/>
      <c r="AV92" s="1549"/>
      <c r="AW92" s="673"/>
      <c r="AX92" s="673"/>
      <c r="AY92" s="673"/>
      <c r="AZ92" s="673"/>
      <c r="BA92" s="1547"/>
      <c r="BB92" s="529"/>
      <c r="BC92" s="1546"/>
      <c r="BD92" s="160"/>
    </row>
    <row r="93" spans="1:56" outlineLevel="1" x14ac:dyDescent="0.45">
      <c r="A93" s="1301">
        <v>6</v>
      </c>
      <c r="B93" s="265" t="s">
        <v>1050</v>
      </c>
      <c r="C93" s="1316"/>
      <c r="D93" s="1317"/>
      <c r="E93" s="1318"/>
      <c r="F93" s="1508"/>
      <c r="G93" s="1316"/>
      <c r="H93" s="1316"/>
      <c r="I93" s="539"/>
      <c r="J93" s="539"/>
      <c r="K93" s="1454" t="str">
        <f t="shared" si="23"/>
        <v>-</v>
      </c>
      <c r="L93" s="1287"/>
      <c r="M93" s="1287"/>
      <c r="N93" s="1287"/>
      <c r="O93" s="1515"/>
      <c r="P93" s="1510"/>
      <c r="Q93" s="1510">
        <f>3457350.79/10^7</f>
        <v>0.345735079</v>
      </c>
      <c r="R93" s="1510"/>
      <c r="S93" s="1510"/>
      <c r="T93" s="1510">
        <f t="shared" si="22"/>
        <v>0.345735079</v>
      </c>
      <c r="U93" s="673"/>
      <c r="V93" s="673"/>
      <c r="W93" s="673"/>
      <c r="X93" s="673"/>
      <c r="Y93" s="673"/>
      <c r="Z93" s="673"/>
      <c r="AA93" s="673"/>
      <c r="AB93" s="1547"/>
      <c r="AC93" s="1512"/>
      <c r="AD93" s="1512"/>
      <c r="AE93" s="1512"/>
      <c r="AF93" s="1512"/>
      <c r="AG93" s="1548"/>
      <c r="AH93" s="1548"/>
      <c r="AI93" s="1548"/>
      <c r="AJ93" s="673"/>
      <c r="AK93" s="673"/>
      <c r="AL93" s="673"/>
      <c r="AM93" s="673"/>
      <c r="AN93" s="1547"/>
      <c r="AO93" s="1510"/>
      <c r="AP93" s="1510">
        <f>3457350.79/10^7</f>
        <v>0.345735079</v>
      </c>
      <c r="AQ93" s="1510"/>
      <c r="AR93" s="1510"/>
      <c r="AS93" s="1501">
        <f t="shared" si="19"/>
        <v>0.345735079</v>
      </c>
      <c r="AT93" s="1549"/>
      <c r="AU93" s="1549"/>
      <c r="AV93" s="1549"/>
      <c r="AW93" s="673"/>
      <c r="AX93" s="673"/>
      <c r="AY93" s="673"/>
      <c r="AZ93" s="673"/>
      <c r="BA93" s="1547"/>
      <c r="BB93" s="529"/>
      <c r="BC93" s="1546"/>
      <c r="BD93" s="1555"/>
    </row>
    <row r="94" spans="1:56" outlineLevel="1" x14ac:dyDescent="0.45">
      <c r="A94" s="1301">
        <v>7</v>
      </c>
      <c r="B94" s="1319" t="s">
        <v>1724</v>
      </c>
      <c r="C94" s="1316"/>
      <c r="D94" s="1317"/>
      <c r="E94" s="1318"/>
      <c r="F94" s="1508"/>
      <c r="G94" s="1316"/>
      <c r="H94" s="1316"/>
      <c r="I94" s="539"/>
      <c r="J94" s="539"/>
      <c r="K94" s="1454" t="str">
        <f t="shared" si="23"/>
        <v>-</v>
      </c>
      <c r="L94" s="1287"/>
      <c r="M94" s="1287"/>
      <c r="N94" s="1287"/>
      <c r="O94" s="1515"/>
      <c r="P94" s="1510"/>
      <c r="Q94" s="1510"/>
      <c r="R94" s="1510"/>
      <c r="S94" s="1510"/>
      <c r="T94" s="1510">
        <f t="shared" si="22"/>
        <v>0</v>
      </c>
      <c r="U94" s="673"/>
      <c r="V94" s="673"/>
      <c r="W94" s="673"/>
      <c r="X94" s="673"/>
      <c r="Y94" s="673"/>
      <c r="Z94" s="673"/>
      <c r="AA94" s="673"/>
      <c r="AB94" s="1547"/>
      <c r="AC94" s="1512"/>
      <c r="AD94" s="1512"/>
      <c r="AE94" s="1512"/>
      <c r="AF94" s="1512"/>
      <c r="AG94" s="1548"/>
      <c r="AH94" s="1548"/>
      <c r="AI94" s="1548"/>
      <c r="AJ94" s="673"/>
      <c r="AK94" s="673"/>
      <c r="AL94" s="673"/>
      <c r="AM94" s="673"/>
      <c r="AN94" s="1547"/>
      <c r="AO94" s="1510"/>
      <c r="AP94" s="1510"/>
      <c r="AQ94" s="1510"/>
      <c r="AR94" s="1510"/>
      <c r="AS94" s="1501">
        <f t="shared" si="19"/>
        <v>0</v>
      </c>
      <c r="AT94" s="1549"/>
      <c r="AU94" s="1549"/>
      <c r="AV94" s="1549"/>
      <c r="AW94" s="673"/>
      <c r="AX94" s="673"/>
      <c r="AY94" s="673"/>
      <c r="AZ94" s="673"/>
      <c r="BA94" s="1547"/>
      <c r="BB94" s="529"/>
      <c r="BC94" s="1546"/>
      <c r="BD94" s="1555"/>
    </row>
    <row r="95" spans="1:56" ht="30" outlineLevel="1" x14ac:dyDescent="0.45">
      <c r="A95" s="1301">
        <v>8</v>
      </c>
      <c r="B95" s="1319" t="s">
        <v>1725</v>
      </c>
      <c r="C95" s="1316"/>
      <c r="D95" s="1317"/>
      <c r="E95" s="1318"/>
      <c r="F95" s="1508"/>
      <c r="G95" s="1316"/>
      <c r="H95" s="1316"/>
      <c r="I95" s="539"/>
      <c r="J95" s="539"/>
      <c r="K95" s="1454" t="str">
        <f t="shared" si="23"/>
        <v>-</v>
      </c>
      <c r="L95" s="1287"/>
      <c r="M95" s="1287"/>
      <c r="N95" s="1287"/>
      <c r="O95" s="1515"/>
      <c r="P95" s="1510"/>
      <c r="Q95" s="1510"/>
      <c r="R95" s="1510"/>
      <c r="S95" s="1510"/>
      <c r="T95" s="1510">
        <f t="shared" si="22"/>
        <v>0</v>
      </c>
      <c r="U95" s="673">
        <f>34999.94/10^7</f>
        <v>3.4999940000000002E-3</v>
      </c>
      <c r="V95" s="673"/>
      <c r="W95" s="673"/>
      <c r="X95" s="673"/>
      <c r="Y95" s="673"/>
      <c r="Z95" s="673"/>
      <c r="AA95" s="673"/>
      <c r="AB95" s="1547"/>
      <c r="AC95" s="1512"/>
      <c r="AD95" s="1512"/>
      <c r="AE95" s="1512"/>
      <c r="AF95" s="1512"/>
      <c r="AG95" s="673"/>
      <c r="AH95" s="1548"/>
      <c r="AI95" s="1548"/>
      <c r="AJ95" s="673"/>
      <c r="AK95" s="673"/>
      <c r="AL95" s="673"/>
      <c r="AM95" s="673"/>
      <c r="AN95" s="1547"/>
      <c r="AO95" s="1510"/>
      <c r="AP95" s="1510"/>
      <c r="AQ95" s="1510"/>
      <c r="AR95" s="1510"/>
      <c r="AS95" s="1501">
        <f t="shared" si="19"/>
        <v>0</v>
      </c>
      <c r="AT95" s="1549">
        <v>3.4999940000000002E-3</v>
      </c>
      <c r="AU95" s="1549"/>
      <c r="AV95" s="1533">
        <v>0.09</v>
      </c>
      <c r="AW95" s="673"/>
      <c r="AX95" s="673"/>
      <c r="AY95" s="673"/>
      <c r="AZ95" s="673"/>
      <c r="BA95" s="1547"/>
      <c r="BB95" s="529"/>
      <c r="BC95" s="1569" t="s">
        <v>1726</v>
      </c>
      <c r="BD95" s="1555" t="s">
        <v>943</v>
      </c>
    </row>
    <row r="96" spans="1:56" ht="59" outlineLevel="1" x14ac:dyDescent="0.45">
      <c r="A96" s="1301">
        <v>9</v>
      </c>
      <c r="B96" s="1319" t="s">
        <v>1727</v>
      </c>
      <c r="C96" s="1316"/>
      <c r="D96" s="1317"/>
      <c r="E96" s="1318"/>
      <c r="F96" s="1508"/>
      <c r="G96" s="1316"/>
      <c r="H96" s="1316"/>
      <c r="I96" s="539"/>
      <c r="J96" s="539"/>
      <c r="K96" s="1454"/>
      <c r="L96" s="1287"/>
      <c r="M96" s="1287"/>
      <c r="N96" s="1287"/>
      <c r="O96" s="1515"/>
      <c r="P96" s="1510"/>
      <c r="Q96" s="1510"/>
      <c r="R96" s="1510"/>
      <c r="S96" s="1510"/>
      <c r="T96" s="1510">
        <f t="shared" si="22"/>
        <v>0</v>
      </c>
      <c r="U96" s="673">
        <f>(129396.98+2459233.16)/10^7</f>
        <v>0.258863014</v>
      </c>
      <c r="V96" s="673"/>
      <c r="W96" s="673"/>
      <c r="X96" s="673"/>
      <c r="Y96" s="673"/>
      <c r="Z96" s="673"/>
      <c r="AA96" s="673"/>
      <c r="AB96" s="1547"/>
      <c r="AC96" s="1512"/>
      <c r="AD96" s="1512"/>
      <c r="AE96" s="1512"/>
      <c r="AF96" s="1512"/>
      <c r="AG96" s="673"/>
      <c r="AH96" s="1548"/>
      <c r="AI96" s="1548"/>
      <c r="AJ96" s="673"/>
      <c r="AK96" s="673"/>
      <c r="AL96" s="673"/>
      <c r="AM96" s="673"/>
      <c r="AN96" s="1547"/>
      <c r="AO96" s="1510"/>
      <c r="AP96" s="1510"/>
      <c r="AQ96" s="1510"/>
      <c r="AR96" s="1510"/>
      <c r="AS96" s="1501">
        <f t="shared" si="19"/>
        <v>0</v>
      </c>
      <c r="AT96" s="1549">
        <v>0.258863014</v>
      </c>
      <c r="AU96" s="1549"/>
      <c r="AV96" s="1549"/>
      <c r="AW96" s="673"/>
      <c r="AX96" s="673"/>
      <c r="AY96" s="673"/>
      <c r="AZ96" s="673"/>
      <c r="BA96" s="1547"/>
      <c r="BB96" s="529"/>
      <c r="BC96" s="1569" t="s">
        <v>1728</v>
      </c>
      <c r="BD96" s="1555" t="s">
        <v>943</v>
      </c>
    </row>
    <row r="97" spans="1:56" ht="88" outlineLevel="1" x14ac:dyDescent="0.45">
      <c r="A97" s="1301">
        <v>10</v>
      </c>
      <c r="B97" s="1319" t="s">
        <v>1725</v>
      </c>
      <c r="C97" s="1316"/>
      <c r="D97" s="1317"/>
      <c r="E97" s="1318"/>
      <c r="F97" s="1508"/>
      <c r="G97" s="1316"/>
      <c r="H97" s="1316"/>
      <c r="I97" s="539"/>
      <c r="J97" s="539"/>
      <c r="K97" s="1454"/>
      <c r="L97" s="1287"/>
      <c r="M97" s="1287"/>
      <c r="N97" s="1287"/>
      <c r="O97" s="1515"/>
      <c r="P97" s="1510"/>
      <c r="Q97" s="1510"/>
      <c r="R97" s="1510"/>
      <c r="S97" s="1510"/>
      <c r="T97" s="1510">
        <f t="shared" si="22"/>
        <v>0</v>
      </c>
      <c r="U97" s="673"/>
      <c r="V97" s="673">
        <f>2071974.36/10^7</f>
        <v>0.20719743600000001</v>
      </c>
      <c r="W97" s="673"/>
      <c r="X97" s="673"/>
      <c r="Y97" s="673"/>
      <c r="Z97" s="673"/>
      <c r="AA97" s="673"/>
      <c r="AB97" s="1547"/>
      <c r="AC97" s="1512"/>
      <c r="AD97" s="1512"/>
      <c r="AE97" s="1512"/>
      <c r="AF97" s="1512"/>
      <c r="AG97" s="1548"/>
      <c r="AH97" s="1548"/>
      <c r="AI97" s="1548"/>
      <c r="AJ97" s="673"/>
      <c r="AK97" s="673"/>
      <c r="AL97" s="673"/>
      <c r="AM97" s="673"/>
      <c r="AN97" s="1547"/>
      <c r="AO97" s="1510"/>
      <c r="AP97" s="1510"/>
      <c r="AQ97" s="1510"/>
      <c r="AR97" s="1510"/>
      <c r="AS97" s="1501">
        <f t="shared" si="19"/>
        <v>0</v>
      </c>
      <c r="AT97" s="1549"/>
      <c r="AU97" s="1549">
        <v>0.20719743600000001</v>
      </c>
      <c r="AV97" s="1549"/>
      <c r="AW97" s="673"/>
      <c r="AX97" s="673"/>
      <c r="AY97" s="673"/>
      <c r="AZ97" s="673"/>
      <c r="BA97" s="1547"/>
      <c r="BB97" s="529"/>
      <c r="BC97" s="1569" t="s">
        <v>1729</v>
      </c>
      <c r="BD97" s="1555" t="s">
        <v>943</v>
      </c>
    </row>
    <row r="98" spans="1:56" outlineLevel="1" x14ac:dyDescent="0.45">
      <c r="A98" s="1301">
        <v>11</v>
      </c>
      <c r="B98" s="1319" t="s">
        <v>1727</v>
      </c>
      <c r="C98" s="1316"/>
      <c r="D98" s="1317"/>
      <c r="E98" s="1318"/>
      <c r="F98" s="1508"/>
      <c r="G98" s="1316"/>
      <c r="H98" s="1316"/>
      <c r="I98" s="539"/>
      <c r="J98" s="539"/>
      <c r="K98" s="1454"/>
      <c r="L98" s="1287"/>
      <c r="M98" s="1287"/>
      <c r="N98" s="1287"/>
      <c r="O98" s="1515"/>
      <c r="P98" s="1510"/>
      <c r="Q98" s="1510"/>
      <c r="R98" s="1510"/>
      <c r="S98" s="1510"/>
      <c r="T98" s="1510">
        <f t="shared" si="22"/>
        <v>0</v>
      </c>
      <c r="U98" s="673"/>
      <c r="V98" s="673">
        <f>63897/10^7</f>
        <v>6.3896999999999999E-3</v>
      </c>
      <c r="W98" s="673"/>
      <c r="X98" s="673"/>
      <c r="Y98" s="673"/>
      <c r="Z98" s="673"/>
      <c r="AA98" s="673"/>
      <c r="AB98" s="1547"/>
      <c r="AC98" s="1512"/>
      <c r="AD98" s="1512"/>
      <c r="AE98" s="1512"/>
      <c r="AF98" s="1512"/>
      <c r="AG98" s="1548"/>
      <c r="AH98" s="1548"/>
      <c r="AI98" s="1548"/>
      <c r="AJ98" s="673"/>
      <c r="AK98" s="673"/>
      <c r="AL98" s="673"/>
      <c r="AM98" s="673"/>
      <c r="AN98" s="1547"/>
      <c r="AO98" s="1510"/>
      <c r="AP98" s="1510"/>
      <c r="AQ98" s="1510"/>
      <c r="AR98" s="1510"/>
      <c r="AS98" s="1501">
        <f t="shared" si="19"/>
        <v>0</v>
      </c>
      <c r="AT98" s="1549"/>
      <c r="AU98" s="1549">
        <v>6.3896999999999999E-3</v>
      </c>
      <c r="AV98" s="1549"/>
      <c r="AW98" s="673"/>
      <c r="AX98" s="673"/>
      <c r="AY98" s="673"/>
      <c r="AZ98" s="673"/>
      <c r="BA98" s="1547"/>
      <c r="BB98" s="529"/>
      <c r="BC98" s="1570" t="s">
        <v>1730</v>
      </c>
      <c r="BD98" s="1555" t="s">
        <v>943</v>
      </c>
    </row>
    <row r="99" spans="1:56" outlineLevel="1" x14ac:dyDescent="0.45">
      <c r="A99" s="1301">
        <v>12</v>
      </c>
      <c r="B99" s="1319" t="s">
        <v>511</v>
      </c>
      <c r="C99" s="1316"/>
      <c r="D99" s="1317"/>
      <c r="E99" s="1318"/>
      <c r="F99" s="1508"/>
      <c r="G99" s="1316"/>
      <c r="H99" s="1316"/>
      <c r="I99" s="539"/>
      <c r="J99" s="539"/>
      <c r="K99" s="1454"/>
      <c r="L99" s="1287"/>
      <c r="M99" s="1287"/>
      <c r="N99" s="1287"/>
      <c r="O99" s="1515"/>
      <c r="P99" s="1510"/>
      <c r="Q99" s="1510"/>
      <c r="R99" s="1510"/>
      <c r="S99" s="1510"/>
      <c r="T99" s="1510">
        <f t="shared" si="22"/>
        <v>0</v>
      </c>
      <c r="U99" s="673"/>
      <c r="V99" s="673"/>
      <c r="W99" s="673"/>
      <c r="X99" s="673"/>
      <c r="Y99" s="673"/>
      <c r="Z99" s="673"/>
      <c r="AA99" s="673"/>
      <c r="AB99" s="1547"/>
      <c r="AC99" s="1512"/>
      <c r="AD99" s="1512"/>
      <c r="AE99" s="1512"/>
      <c r="AF99" s="1512"/>
      <c r="AG99" s="1548"/>
      <c r="AH99" s="1548"/>
      <c r="AI99" s="1548"/>
      <c r="AJ99" s="673"/>
      <c r="AK99" s="673"/>
      <c r="AL99" s="673"/>
      <c r="AM99" s="673"/>
      <c r="AN99" s="1547"/>
      <c r="AO99" s="1510"/>
      <c r="AP99" s="1510"/>
      <c r="AQ99" s="1510"/>
      <c r="AR99" s="1510"/>
      <c r="AS99" s="1501">
        <f t="shared" si="19"/>
        <v>0</v>
      </c>
      <c r="AT99" s="1549"/>
      <c r="AU99" s="1549">
        <v>0.19434199999999999</v>
      </c>
      <c r="AV99" s="1549"/>
      <c r="AW99" s="673"/>
      <c r="AX99" s="673"/>
      <c r="AY99" s="673"/>
      <c r="AZ99" s="673"/>
      <c r="BA99" s="1547"/>
      <c r="BB99" s="529"/>
      <c r="BC99" s="1570" t="s">
        <v>1731</v>
      </c>
      <c r="BD99" s="1555"/>
    </row>
    <row r="100" spans="1:56" outlineLevel="1" x14ac:dyDescent="0.45">
      <c r="A100" s="1301"/>
      <c r="B100" s="265"/>
      <c r="C100" s="9"/>
      <c r="D100" s="127"/>
      <c r="E100" s="1292"/>
      <c r="F100" s="1524"/>
      <c r="G100" s="9"/>
      <c r="H100" s="539"/>
      <c r="I100" s="539"/>
      <c r="J100" s="539"/>
      <c r="K100" s="1454"/>
      <c r="L100" s="1287"/>
      <c r="M100" s="1287"/>
      <c r="N100" s="1287"/>
      <c r="O100" s="1515"/>
      <c r="P100" s="1409"/>
      <c r="Q100" s="673"/>
      <c r="R100" s="673"/>
      <c r="S100" s="673"/>
      <c r="T100" s="673"/>
      <c r="U100" s="673"/>
      <c r="V100" s="673"/>
      <c r="W100" s="673"/>
      <c r="X100" s="673"/>
      <c r="Y100" s="673"/>
      <c r="Z100" s="673"/>
      <c r="AA100" s="673"/>
      <c r="AB100" s="1547"/>
      <c r="AC100" s="1548"/>
      <c r="AD100" s="1548"/>
      <c r="AE100" s="1548"/>
      <c r="AF100" s="1548"/>
      <c r="AG100" s="1548"/>
      <c r="AH100" s="1548"/>
      <c r="AI100" s="1548"/>
      <c r="AJ100" s="673"/>
      <c r="AK100" s="673"/>
      <c r="AL100" s="673"/>
      <c r="AM100" s="673"/>
      <c r="AN100" s="1547"/>
      <c r="AO100" s="673"/>
      <c r="AP100" s="673"/>
      <c r="AQ100" s="673"/>
      <c r="AR100" s="673"/>
      <c r="AS100" s="673"/>
      <c r="AT100" s="1549"/>
      <c r="AU100" s="1549"/>
      <c r="AV100" s="1549"/>
      <c r="AW100" s="673"/>
      <c r="AX100" s="673"/>
      <c r="AY100" s="673"/>
      <c r="AZ100" s="673"/>
      <c r="BA100" s="1547"/>
      <c r="BB100" s="529"/>
      <c r="BC100" s="1546"/>
      <c r="BD100" s="1555"/>
    </row>
    <row r="101" spans="1:56" outlineLevel="1" x14ac:dyDescent="0.45">
      <c r="A101" s="1301"/>
      <c r="B101" s="265"/>
      <c r="C101" s="9"/>
      <c r="D101" s="127"/>
      <c r="E101" s="1292"/>
      <c r="F101" s="1524"/>
      <c r="G101" s="9"/>
      <c r="H101" s="539"/>
      <c r="I101" s="539"/>
      <c r="J101" s="539"/>
      <c r="K101" s="1454" t="str">
        <f t="shared" si="23"/>
        <v>-</v>
      </c>
      <c r="L101" s="1287"/>
      <c r="M101" s="1287"/>
      <c r="N101" s="1287"/>
      <c r="O101" s="1515"/>
      <c r="P101" s="1409"/>
      <c r="Q101" s="673"/>
      <c r="R101" s="673"/>
      <c r="S101" s="673"/>
      <c r="T101" s="673"/>
      <c r="U101" s="673"/>
      <c r="V101" s="673"/>
      <c r="W101" s="673"/>
      <c r="X101" s="673"/>
      <c r="Y101" s="673"/>
      <c r="Z101" s="673"/>
      <c r="AA101" s="673"/>
      <c r="AB101" s="1547"/>
      <c r="AC101" s="1548"/>
      <c r="AD101" s="1548"/>
      <c r="AE101" s="1548"/>
      <c r="AF101" s="1548"/>
      <c r="AG101" s="1548"/>
      <c r="AH101" s="1548"/>
      <c r="AI101" s="1548"/>
      <c r="AJ101" s="673"/>
      <c r="AK101" s="673"/>
      <c r="AL101" s="673"/>
      <c r="AM101" s="673"/>
      <c r="AN101" s="1547"/>
      <c r="AO101" s="673"/>
      <c r="AP101" s="673"/>
      <c r="AQ101" s="673"/>
      <c r="AR101" s="673"/>
      <c r="AS101" s="673"/>
      <c r="AT101" s="1549"/>
      <c r="AU101" s="1549"/>
      <c r="AV101" s="1549"/>
      <c r="AW101" s="673"/>
      <c r="AX101" s="673"/>
      <c r="AY101" s="673"/>
      <c r="AZ101" s="673"/>
      <c r="BA101" s="1547"/>
      <c r="BB101" s="529"/>
      <c r="BC101" s="1546"/>
      <c r="BD101" s="1555"/>
    </row>
    <row r="102" spans="1:56" ht="18" x14ac:dyDescent="0.3">
      <c r="A102" s="1320"/>
      <c r="B102" s="1321" t="s">
        <v>271</v>
      </c>
      <c r="C102" s="1322"/>
      <c r="D102" s="1323"/>
      <c r="E102" s="1571"/>
      <c r="F102" s="1571"/>
      <c r="G102" s="1572"/>
      <c r="H102" s="1572"/>
      <c r="I102" s="1573"/>
      <c r="J102" s="1573"/>
      <c r="K102" s="1574"/>
      <c r="L102" s="1574"/>
      <c r="M102" s="1574"/>
      <c r="N102" s="1574"/>
      <c r="O102" s="1572"/>
      <c r="P102" s="1572">
        <f t="shared" ref="P102:AB102" si="24">SUM(P10:P101)</f>
        <v>44.668653637975204</v>
      </c>
      <c r="Q102" s="1572">
        <f t="shared" si="24"/>
        <v>9.8215513126666671</v>
      </c>
      <c r="R102" s="1572">
        <f t="shared" si="24"/>
        <v>6.4529699999999995E-2</v>
      </c>
      <c r="S102" s="1572">
        <f t="shared" si="24"/>
        <v>1.8021503000000001</v>
      </c>
      <c r="T102" s="1572">
        <f t="shared" si="24"/>
        <v>56.356884950641877</v>
      </c>
      <c r="U102" s="1572">
        <f t="shared" si="24"/>
        <v>0.26236300800000001</v>
      </c>
      <c r="V102" s="1572">
        <f t="shared" si="24"/>
        <v>0.21358713600000001</v>
      </c>
      <c r="W102" s="1572">
        <f t="shared" si="24"/>
        <v>5.54</v>
      </c>
      <c r="X102" s="1572">
        <f t="shared" si="24"/>
        <v>0</v>
      </c>
      <c r="Y102" s="1572">
        <f t="shared" si="24"/>
        <v>398</v>
      </c>
      <c r="Z102" s="1572">
        <f t="shared" si="24"/>
        <v>0</v>
      </c>
      <c r="AA102" s="1572">
        <f t="shared" si="24"/>
        <v>0</v>
      </c>
      <c r="AB102" s="1572">
        <f t="shared" si="24"/>
        <v>0</v>
      </c>
      <c r="AC102" s="1575"/>
      <c r="AD102" s="1575"/>
      <c r="AE102" s="1575"/>
      <c r="AF102" s="1575"/>
      <c r="AG102" s="1575"/>
      <c r="AH102" s="1575"/>
      <c r="AI102" s="1575"/>
      <c r="AJ102" s="1572"/>
      <c r="AK102" s="1572"/>
      <c r="AL102" s="1572"/>
      <c r="AM102" s="1572"/>
      <c r="AN102" s="1576"/>
      <c r="AO102" s="1572">
        <f t="shared" ref="AO102:BA102" si="25">SUM(AO10:AO101)</f>
        <v>44.668653637975204</v>
      </c>
      <c r="AP102" s="1572">
        <f t="shared" si="25"/>
        <v>3.7132813126666671</v>
      </c>
      <c r="AQ102" s="1572">
        <f t="shared" si="25"/>
        <v>6.1727996999999997</v>
      </c>
      <c r="AR102" s="1572">
        <f t="shared" si="25"/>
        <v>1.8021503000000001</v>
      </c>
      <c r="AS102" s="1572">
        <f t="shared" si="25"/>
        <v>56.356884950641877</v>
      </c>
      <c r="AT102" s="1572">
        <f t="shared" si="25"/>
        <v>0.26236300800000001</v>
      </c>
      <c r="AU102" s="1572">
        <f t="shared" si="25"/>
        <v>0.40792913600000003</v>
      </c>
      <c r="AV102" s="1572">
        <f t="shared" si="25"/>
        <v>5.63</v>
      </c>
      <c r="AW102" s="1572">
        <f t="shared" si="25"/>
        <v>0</v>
      </c>
      <c r="AX102" s="1572">
        <f t="shared" si="25"/>
        <v>398</v>
      </c>
      <c r="AY102" s="1572">
        <f t="shared" si="25"/>
        <v>0</v>
      </c>
      <c r="AZ102" s="1572">
        <f t="shared" si="25"/>
        <v>0</v>
      </c>
      <c r="BA102" s="1572">
        <f t="shared" si="25"/>
        <v>0</v>
      </c>
      <c r="BB102" s="1572"/>
      <c r="BC102" s="1324"/>
      <c r="BD102" s="1577"/>
    </row>
    <row r="103" spans="1:56" x14ac:dyDescent="0.45">
      <c r="BD103" s="1581"/>
    </row>
    <row r="104" spans="1:56" x14ac:dyDescent="0.45">
      <c r="AT104" s="1385">
        <f>SUM(AT88:AT101)</f>
        <v>0.26236300800000001</v>
      </c>
      <c r="AU104" s="1385">
        <f>SUM(AU88:AU101)</f>
        <v>0.40792913600000003</v>
      </c>
      <c r="AV104" s="1385">
        <f>SUM(AV88:AV101)</f>
        <v>0.09</v>
      </c>
    </row>
    <row r="105" spans="1:56" x14ac:dyDescent="0.45">
      <c r="BD105" s="1581"/>
    </row>
    <row r="106" spans="1:56" x14ac:dyDescent="0.45">
      <c r="BD106" s="1581"/>
    </row>
    <row r="107" spans="1:56" x14ac:dyDescent="0.45">
      <c r="BD107" s="1581"/>
    </row>
    <row r="108" spans="1:56" x14ac:dyDescent="0.45">
      <c r="BD108" s="1581"/>
    </row>
    <row r="109" spans="1:56" x14ac:dyDescent="0.45">
      <c r="BD109" s="1581"/>
    </row>
    <row r="111" spans="1:56" x14ac:dyDescent="0.45">
      <c r="BD111" s="1581"/>
    </row>
    <row r="112" spans="1:56" x14ac:dyDescent="0.45">
      <c r="BD112" s="1581"/>
    </row>
    <row r="113" spans="56:56" x14ac:dyDescent="0.45">
      <c r="BD113" s="1581"/>
    </row>
    <row r="114" spans="56:56" x14ac:dyDescent="0.45">
      <c r="BD114" s="1581"/>
    </row>
    <row r="116" spans="56:56" x14ac:dyDescent="0.45">
      <c r="BD116" s="1581"/>
    </row>
    <row r="117" spans="56:56" x14ac:dyDescent="0.45">
      <c r="BD117" s="1581"/>
    </row>
    <row r="118" spans="56:56" x14ac:dyDescent="0.45">
      <c r="BD118" s="1581"/>
    </row>
    <row r="119" spans="56:56" x14ac:dyDescent="0.45">
      <c r="BD119" s="1581"/>
    </row>
    <row r="121" spans="56:56" x14ac:dyDescent="0.45">
      <c r="BD121" s="1581"/>
    </row>
    <row r="123" spans="56:56" x14ac:dyDescent="0.45">
      <c r="BD123" s="1581"/>
    </row>
    <row r="125" spans="56:56" x14ac:dyDescent="0.45">
      <c r="BD125" s="1581"/>
    </row>
    <row r="126" spans="56:56" x14ac:dyDescent="0.45">
      <c r="BD126" s="1581"/>
    </row>
    <row r="127" spans="56:56" x14ac:dyDescent="0.45">
      <c r="BD127" s="1581"/>
    </row>
    <row r="129" spans="56:56" x14ac:dyDescent="0.45">
      <c r="BD129" s="1581"/>
    </row>
    <row r="130" spans="56:56" x14ac:dyDescent="0.45">
      <c r="BD130" s="1581"/>
    </row>
    <row r="131" spans="56:56" x14ac:dyDescent="0.45">
      <c r="BD131" s="1581"/>
    </row>
    <row r="132" spans="56:56" x14ac:dyDescent="0.45">
      <c r="BD132" s="1581"/>
    </row>
    <row r="134" spans="56:56" x14ac:dyDescent="0.45">
      <c r="BD134" s="1581"/>
    </row>
    <row r="135" spans="56:56" x14ac:dyDescent="0.45">
      <c r="BD135" s="1581"/>
    </row>
    <row r="136" spans="56:56" x14ac:dyDescent="0.45">
      <c r="BD136" s="1581"/>
    </row>
    <row r="137" spans="56:56" x14ac:dyDescent="0.45">
      <c r="BD137" s="1581"/>
    </row>
    <row r="139" spans="56:56" x14ac:dyDescent="0.45">
      <c r="BD139" s="1581"/>
    </row>
    <row r="140" spans="56:56" x14ac:dyDescent="0.45">
      <c r="BD140" s="1581"/>
    </row>
    <row r="141" spans="56:56" x14ac:dyDescent="0.45">
      <c r="BD141" s="1581"/>
    </row>
    <row r="142" spans="56:56" x14ac:dyDescent="0.45">
      <c r="BD142" s="1581"/>
    </row>
    <row r="143" spans="56:56" x14ac:dyDescent="0.45">
      <c r="BD143" s="1581"/>
    </row>
    <row r="145" spans="56:56" x14ac:dyDescent="0.45">
      <c r="BD145" s="1581"/>
    </row>
    <row r="146" spans="56:56" x14ac:dyDescent="0.45">
      <c r="BD146" s="1581"/>
    </row>
    <row r="147" spans="56:56" x14ac:dyDescent="0.45">
      <c r="BD147" s="1581"/>
    </row>
    <row r="148" spans="56:56" x14ac:dyDescent="0.45">
      <c r="BD148" s="1581"/>
    </row>
    <row r="149" spans="56:56" x14ac:dyDescent="0.45">
      <c r="BD149" s="1581"/>
    </row>
    <row r="150" spans="56:56" x14ac:dyDescent="0.45">
      <c r="BD150" s="1581"/>
    </row>
    <row r="151" spans="56:56" x14ac:dyDescent="0.45">
      <c r="BD151" s="1581"/>
    </row>
    <row r="152" spans="56:56" x14ac:dyDescent="0.45">
      <c r="BD152" s="1581"/>
    </row>
    <row r="153" spans="56:56" x14ac:dyDescent="0.45">
      <c r="BD153" s="1581"/>
    </row>
    <row r="154" spans="56:56" x14ac:dyDescent="0.45">
      <c r="BD154" s="1581"/>
    </row>
    <row r="155" spans="56:56" x14ac:dyDescent="0.45">
      <c r="BD155" s="1581"/>
    </row>
    <row r="156" spans="56:56" x14ac:dyDescent="0.45">
      <c r="BD156" s="1581"/>
    </row>
    <row r="158" spans="56:56" x14ac:dyDescent="0.45">
      <c r="BD158" s="1581"/>
    </row>
    <row r="159" spans="56:56" x14ac:dyDescent="0.45">
      <c r="BD159" s="1581"/>
    </row>
    <row r="160" spans="56:56" x14ac:dyDescent="0.45">
      <c r="BD160" s="1581"/>
    </row>
    <row r="162" spans="56:56" x14ac:dyDescent="0.45">
      <c r="BD162" s="1581"/>
    </row>
    <row r="163" spans="56:56" x14ac:dyDescent="0.45">
      <c r="BD163" s="1581"/>
    </row>
    <row r="165" spans="56:56" x14ac:dyDescent="0.45">
      <c r="BD165" s="1581"/>
    </row>
    <row r="166" spans="56:56" x14ac:dyDescent="0.45">
      <c r="BD166" s="1581"/>
    </row>
    <row r="168" spans="56:56" x14ac:dyDescent="0.45">
      <c r="BD168" s="1581"/>
    </row>
    <row r="169" spans="56:56" x14ac:dyDescent="0.45">
      <c r="BD169" s="1581"/>
    </row>
    <row r="171" spans="56:56" x14ac:dyDescent="0.45">
      <c r="BD171" s="1581"/>
    </row>
    <row r="172" spans="56:56" x14ac:dyDescent="0.45">
      <c r="BD172" s="1581"/>
    </row>
    <row r="173" spans="56:56" x14ac:dyDescent="0.45">
      <c r="BD173" s="1581"/>
    </row>
    <row r="175" spans="56:56" x14ac:dyDescent="0.45">
      <c r="BD175" s="1581"/>
    </row>
    <row r="176" spans="56:56" x14ac:dyDescent="0.45">
      <c r="BD176" s="1581"/>
    </row>
    <row r="178" spans="56:56" x14ac:dyDescent="0.45">
      <c r="BD178" s="1581"/>
    </row>
    <row r="179" spans="56:56" x14ac:dyDescent="0.45">
      <c r="BD179" s="1581"/>
    </row>
    <row r="181" spans="56:56" x14ac:dyDescent="0.45">
      <c r="BD181" s="1581"/>
    </row>
    <row r="182" spans="56:56" x14ac:dyDescent="0.45">
      <c r="BD182" s="1581"/>
    </row>
    <row r="184" spans="56:56" x14ac:dyDescent="0.45">
      <c r="BD184" s="1581"/>
    </row>
    <row r="185" spans="56:56" x14ac:dyDescent="0.45">
      <c r="BD185" s="1581"/>
    </row>
    <row r="186" spans="56:56" x14ac:dyDescent="0.45">
      <c r="BD186" s="1581"/>
    </row>
    <row r="188" spans="56:56" x14ac:dyDescent="0.45">
      <c r="BD188" s="1581"/>
    </row>
    <row r="189" spans="56:56" x14ac:dyDescent="0.45">
      <c r="BD189" s="1581"/>
    </row>
    <row r="191" spans="56:56" x14ac:dyDescent="0.45">
      <c r="BD191" s="1581"/>
    </row>
    <row r="193" spans="56:56" x14ac:dyDescent="0.45">
      <c r="BD193" s="1581"/>
    </row>
    <row r="194" spans="56:56" x14ac:dyDescent="0.45">
      <c r="BD194" s="1581"/>
    </row>
    <row r="196" spans="56:56" x14ac:dyDescent="0.45">
      <c r="BD196" s="1581"/>
    </row>
    <row r="197" spans="56:56" x14ac:dyDescent="0.45">
      <c r="BD197" s="1581"/>
    </row>
    <row r="199" spans="56:56" x14ac:dyDescent="0.45">
      <c r="BD199" s="1581"/>
    </row>
    <row r="201" spans="56:56" x14ac:dyDescent="0.45">
      <c r="BD201" s="1581"/>
    </row>
    <row r="203" spans="56:56" x14ac:dyDescent="0.45">
      <c r="BD203" s="1581"/>
    </row>
    <row r="204" spans="56:56" x14ac:dyDescent="0.45">
      <c r="BD204" s="1581"/>
    </row>
    <row r="205" spans="56:56" x14ac:dyDescent="0.45">
      <c r="BD205" s="1581"/>
    </row>
    <row r="207" spans="56:56" x14ac:dyDescent="0.45">
      <c r="BD207" s="1581"/>
    </row>
    <row r="209" spans="56:56" x14ac:dyDescent="0.45">
      <c r="BD209" s="1581"/>
    </row>
    <row r="210" spans="56:56" x14ac:dyDescent="0.45">
      <c r="BD210" s="1581"/>
    </row>
    <row r="211" spans="56:56" x14ac:dyDescent="0.45">
      <c r="BD211" s="1581"/>
    </row>
    <row r="213" spans="56:56" x14ac:dyDescent="0.45">
      <c r="BD213" s="1581"/>
    </row>
    <row r="214" spans="56:56" x14ac:dyDescent="0.45">
      <c r="BD214" s="1581"/>
    </row>
    <row r="215" spans="56:56" x14ac:dyDescent="0.45">
      <c r="BD215" s="1581"/>
    </row>
    <row r="217" spans="56:56" x14ac:dyDescent="0.45">
      <c r="BD217" s="1581"/>
    </row>
    <row r="218" spans="56:56" x14ac:dyDescent="0.45">
      <c r="BD218" s="1581"/>
    </row>
    <row r="219" spans="56:56" x14ac:dyDescent="0.45">
      <c r="BD219" s="1581"/>
    </row>
    <row r="221" spans="56:56" x14ac:dyDescent="0.45">
      <c r="BD221" s="1581"/>
    </row>
    <row r="222" spans="56:56" x14ac:dyDescent="0.45">
      <c r="BD222" s="1581"/>
    </row>
    <row r="223" spans="56:56" x14ac:dyDescent="0.45">
      <c r="BD223" s="1581"/>
    </row>
    <row r="224" spans="56:56" x14ac:dyDescent="0.45">
      <c r="BD224" s="1581"/>
    </row>
    <row r="226" spans="56:56" x14ac:dyDescent="0.45">
      <c r="BD226" s="1581"/>
    </row>
    <row r="227" spans="56:56" x14ac:dyDescent="0.45">
      <c r="BD227" s="1581"/>
    </row>
    <row r="229" spans="56:56" x14ac:dyDescent="0.45">
      <c r="BD229" s="1581"/>
    </row>
    <row r="230" spans="56:56" x14ac:dyDescent="0.45">
      <c r="BD230" s="1581"/>
    </row>
    <row r="232" spans="56:56" x14ac:dyDescent="0.45">
      <c r="BD232" s="1581"/>
    </row>
    <row r="233" spans="56:56" x14ac:dyDescent="0.45">
      <c r="BD233" s="1581"/>
    </row>
    <row r="235" spans="56:56" x14ac:dyDescent="0.45">
      <c r="BD235" s="1581"/>
    </row>
    <row r="236" spans="56:56" x14ac:dyDescent="0.45">
      <c r="BD236" s="1581"/>
    </row>
    <row r="238" spans="56:56" x14ac:dyDescent="0.45">
      <c r="BD238" s="1581"/>
    </row>
    <row r="239" spans="56:56" x14ac:dyDescent="0.45">
      <c r="BD239" s="1581"/>
    </row>
    <row r="240" spans="56:56" x14ac:dyDescent="0.45">
      <c r="BD240" s="1581"/>
    </row>
    <row r="241" spans="56:56" x14ac:dyDescent="0.45">
      <c r="BD241" s="1581"/>
    </row>
    <row r="242" spans="56:56" x14ac:dyDescent="0.45">
      <c r="BD242" s="1581"/>
    </row>
    <row r="244" spans="56:56" x14ac:dyDescent="0.45">
      <c r="BD244" s="1581"/>
    </row>
    <row r="245" spans="56:56" x14ac:dyDescent="0.45">
      <c r="BD245" s="1581"/>
    </row>
    <row r="246" spans="56:56" x14ac:dyDescent="0.45">
      <c r="BD246" s="1581"/>
    </row>
    <row r="248" spans="56:56" x14ac:dyDescent="0.45">
      <c r="BD248" s="1581"/>
    </row>
    <row r="249" spans="56:56" x14ac:dyDescent="0.45">
      <c r="BD249" s="1581"/>
    </row>
    <row r="250" spans="56:56" x14ac:dyDescent="0.45">
      <c r="BD250" s="1581"/>
    </row>
    <row r="251" spans="56:56" x14ac:dyDescent="0.45">
      <c r="BD251" s="1581"/>
    </row>
    <row r="255" spans="56:56" x14ac:dyDescent="0.45">
      <c r="BD255" s="1581"/>
    </row>
    <row r="256" spans="56:56" x14ac:dyDescent="0.45">
      <c r="BD256" s="1581"/>
    </row>
    <row r="257" spans="56:56" x14ac:dyDescent="0.45">
      <c r="BD257" s="1581"/>
    </row>
    <row r="258" spans="56:56" x14ac:dyDescent="0.45">
      <c r="BD258" s="1581"/>
    </row>
    <row r="259" spans="56:56" x14ac:dyDescent="0.45">
      <c r="BD259" s="1581"/>
    </row>
    <row r="260" spans="56:56" x14ac:dyDescent="0.45">
      <c r="BD260" s="1581"/>
    </row>
    <row r="261" spans="56:56" x14ac:dyDescent="0.45">
      <c r="BD261" s="1581"/>
    </row>
    <row r="263" spans="56:56" x14ac:dyDescent="0.45">
      <c r="BD263" s="1581"/>
    </row>
    <row r="264" spans="56:56" x14ac:dyDescent="0.45">
      <c r="BD264" s="1581"/>
    </row>
    <row r="265" spans="56:56" x14ac:dyDescent="0.45">
      <c r="BD265" s="1581"/>
    </row>
    <row r="266" spans="56:56" x14ac:dyDescent="0.45">
      <c r="BD266" s="1581"/>
    </row>
    <row r="267" spans="56:56" x14ac:dyDescent="0.45">
      <c r="BD267" s="1581"/>
    </row>
    <row r="268" spans="56:56" x14ac:dyDescent="0.45">
      <c r="BD268" s="1581"/>
    </row>
    <row r="269" spans="56:56" x14ac:dyDescent="0.45">
      <c r="BD269" s="1581"/>
    </row>
    <row r="270" spans="56:56" x14ac:dyDescent="0.45">
      <c r="BD270" s="1581"/>
    </row>
    <row r="271" spans="56:56" x14ac:dyDescent="0.45">
      <c r="BD271" s="1581"/>
    </row>
    <row r="272" spans="56:56" x14ac:dyDescent="0.45">
      <c r="BD272" s="1581"/>
    </row>
    <row r="275" spans="56:56" x14ac:dyDescent="0.45">
      <c r="BD275" s="1581"/>
    </row>
    <row r="276" spans="56:56" x14ac:dyDescent="0.45">
      <c r="BD276" s="1581"/>
    </row>
    <row r="277" spans="56:56" x14ac:dyDescent="0.45">
      <c r="BD277" s="1581"/>
    </row>
    <row r="278" spans="56:56" x14ac:dyDescent="0.45">
      <c r="BD278" s="1581"/>
    </row>
    <row r="279" spans="56:56" x14ac:dyDescent="0.45">
      <c r="BD279" s="1581"/>
    </row>
    <row r="280" spans="56:56" x14ac:dyDescent="0.45">
      <c r="BD280" s="1581"/>
    </row>
    <row r="281" spans="56:56" x14ac:dyDescent="0.45">
      <c r="BD281" s="1581"/>
    </row>
    <row r="282" spans="56:56" x14ac:dyDescent="0.45">
      <c r="BD282" s="1581"/>
    </row>
    <row r="283" spans="56:56" x14ac:dyDescent="0.45">
      <c r="BD283" s="1581"/>
    </row>
    <row r="284" spans="56:56" x14ac:dyDescent="0.45">
      <c r="BD284" s="1581"/>
    </row>
    <row r="285" spans="56:56" x14ac:dyDescent="0.45">
      <c r="BD285" s="1581"/>
    </row>
    <row r="286" spans="56:56" x14ac:dyDescent="0.45">
      <c r="BD286" s="1581"/>
    </row>
    <row r="287" spans="56:56" x14ac:dyDescent="0.45">
      <c r="BD287" s="1581"/>
    </row>
    <row r="288" spans="56:56" x14ac:dyDescent="0.45">
      <c r="BD288" s="1581"/>
    </row>
    <row r="289" spans="56:56" x14ac:dyDescent="0.45">
      <c r="BD289" s="1581"/>
    </row>
    <row r="290" spans="56:56" x14ac:dyDescent="0.45">
      <c r="BD290" s="1581"/>
    </row>
    <row r="291" spans="56:56" x14ac:dyDescent="0.45">
      <c r="BD291" s="1581"/>
    </row>
    <row r="292" spans="56:56" x14ac:dyDescent="0.45">
      <c r="BD292" s="1581"/>
    </row>
    <row r="293" spans="56:56" x14ac:dyDescent="0.45">
      <c r="BD293" s="1581"/>
    </row>
    <row r="294" spans="56:56" x14ac:dyDescent="0.45">
      <c r="BD294" s="1581"/>
    </row>
    <row r="295" spans="56:56" x14ac:dyDescent="0.45">
      <c r="BD295" s="1582"/>
    </row>
  </sheetData>
  <mergeCells count="26">
    <mergeCell ref="BB4:BB6"/>
    <mergeCell ref="BC4:BC6"/>
    <mergeCell ref="BD4:BD6"/>
    <mergeCell ref="P5:P6"/>
    <mergeCell ref="T5:T6"/>
    <mergeCell ref="AC5:AC6"/>
    <mergeCell ref="AO5:AO6"/>
    <mergeCell ref="AS5:AS6"/>
    <mergeCell ref="AO4:AV4"/>
    <mergeCell ref="M4:M6"/>
    <mergeCell ref="N4:N6"/>
    <mergeCell ref="O4:O6"/>
    <mergeCell ref="P4:W4"/>
    <mergeCell ref="AC4:AI4"/>
    <mergeCell ref="L4:L6"/>
    <mergeCell ref="A4:A6"/>
    <mergeCell ref="B4:B6"/>
    <mergeCell ref="C4:C6"/>
    <mergeCell ref="D4:D6"/>
    <mergeCell ref="E4:E6"/>
    <mergeCell ref="F4:F6"/>
    <mergeCell ref="G4:G6"/>
    <mergeCell ref="H4:H6"/>
    <mergeCell ref="I4:I6"/>
    <mergeCell ref="J4:J6"/>
    <mergeCell ref="K4:K6"/>
  </mergeCells>
  <conditionalFormatting sqref="D67 D16:D23 D25:D38 D50:D52 D54:D60 D62:D65 D76:D79">
    <cfRule type="containsText" dxfId="565" priority="49" operator="containsText" text="DPR not submitted">
      <formula>NOT(ISERROR(SEARCH("DPR not submitted",D16)))</formula>
    </cfRule>
    <cfRule type="containsText" dxfId="564" priority="50" operator="containsText" text="Yet to be approved">
      <formula>NOT(ISERROR(SEARCH("Yet to be approved",D16)))</formula>
    </cfRule>
  </conditionalFormatting>
  <conditionalFormatting sqref="D40:D42">
    <cfRule type="containsText" dxfId="563" priority="45" operator="containsText" text="DPR not submitted">
      <formula>NOT(ISERROR(SEARCH("DPR not submitted",D40)))</formula>
    </cfRule>
    <cfRule type="containsText" dxfId="562" priority="46" operator="containsText" text="Yet to be approved">
      <formula>NOT(ISERROR(SEARCH("Yet to be approved",D40)))</formula>
    </cfRule>
  </conditionalFormatting>
  <conditionalFormatting sqref="D44:D48">
    <cfRule type="containsText" dxfId="561" priority="43" operator="containsText" text="DPR not submitted">
      <formula>NOT(ISERROR(SEARCH("DPR not submitted",D44)))</formula>
    </cfRule>
    <cfRule type="containsText" dxfId="560" priority="44" operator="containsText" text="Yet to be approved">
      <formula>NOT(ISERROR(SEARCH("Yet to be approved",D44)))</formula>
    </cfRule>
  </conditionalFormatting>
  <conditionalFormatting sqref="D69 D71">
    <cfRule type="containsText" dxfId="559" priority="47" operator="containsText" text="DPR not submitted">
      <formula>NOT(ISERROR(SEARCH("DPR not submitted",D69)))</formula>
    </cfRule>
    <cfRule type="containsText" dxfId="558" priority="48" operator="containsText" text="Yet to be approved">
      <formula>NOT(ISERROR(SEARCH("Yet to be approved",D69)))</formula>
    </cfRule>
  </conditionalFormatting>
  <conditionalFormatting sqref="D43">
    <cfRule type="containsText" dxfId="557" priority="41" operator="containsText" text="DPR not submitted">
      <formula>NOT(ISERROR(SEARCH("DPR not submitted",D43)))</formula>
    </cfRule>
    <cfRule type="containsText" dxfId="556" priority="42" operator="containsText" text="Yet to be approved">
      <formula>NOT(ISERROR(SEARCH("Yet to be approved",D43)))</formula>
    </cfRule>
  </conditionalFormatting>
  <conditionalFormatting sqref="D39">
    <cfRule type="containsText" dxfId="555" priority="39" operator="containsText" text="DPR not submitted">
      <formula>NOT(ISERROR(SEARCH("DPR not submitted",D39)))</formula>
    </cfRule>
    <cfRule type="containsText" dxfId="554" priority="40" operator="containsText" text="Yet to be approved">
      <formula>NOT(ISERROR(SEARCH("Yet to be approved",D39)))</formula>
    </cfRule>
  </conditionalFormatting>
  <conditionalFormatting sqref="D24">
    <cfRule type="containsText" dxfId="553" priority="37" operator="containsText" text="DPR not submitted">
      <formula>NOT(ISERROR(SEARCH("DPR not submitted",D24)))</formula>
    </cfRule>
    <cfRule type="containsText" dxfId="552" priority="38" operator="containsText" text="Yet to be approved">
      <formula>NOT(ISERROR(SEARCH("Yet to be approved",D24)))</formula>
    </cfRule>
  </conditionalFormatting>
  <conditionalFormatting sqref="D15">
    <cfRule type="containsText" dxfId="551" priority="35" operator="containsText" text="DPR not submitted">
      <formula>NOT(ISERROR(SEARCH("DPR not submitted",D15)))</formula>
    </cfRule>
    <cfRule type="containsText" dxfId="550" priority="36" operator="containsText" text="Yet to be approved">
      <formula>NOT(ISERROR(SEARCH("Yet to be approved",D15)))</formula>
    </cfRule>
  </conditionalFormatting>
  <conditionalFormatting sqref="D10">
    <cfRule type="containsText" dxfId="549" priority="33" operator="containsText" text="DPR not submitted">
      <formula>NOT(ISERROR(SEARCH("DPR not submitted",D10)))</formula>
    </cfRule>
    <cfRule type="containsText" dxfId="548" priority="34" operator="containsText" text="Yet to be approved">
      <formula>NOT(ISERROR(SEARCH("Yet to be approved",D10)))</formula>
    </cfRule>
  </conditionalFormatting>
  <conditionalFormatting sqref="D49">
    <cfRule type="containsText" dxfId="547" priority="31" operator="containsText" text="DPR not submitted">
      <formula>NOT(ISERROR(SEARCH("DPR not submitted",D49)))</formula>
    </cfRule>
    <cfRule type="containsText" dxfId="546" priority="32" operator="containsText" text="Yet to be approved">
      <formula>NOT(ISERROR(SEARCH("Yet to be approved",D49)))</formula>
    </cfRule>
  </conditionalFormatting>
  <conditionalFormatting sqref="D53">
    <cfRule type="containsText" dxfId="545" priority="29" operator="containsText" text="DPR not submitted">
      <formula>NOT(ISERROR(SEARCH("DPR not submitted",D53)))</formula>
    </cfRule>
    <cfRule type="containsText" dxfId="544" priority="30" operator="containsText" text="Yet to be approved">
      <formula>NOT(ISERROR(SEARCH("Yet to be approved",D53)))</formula>
    </cfRule>
  </conditionalFormatting>
  <conditionalFormatting sqref="D61">
    <cfRule type="containsText" dxfId="543" priority="27" operator="containsText" text="DPR not submitted">
      <formula>NOT(ISERROR(SEARCH("DPR not submitted",D61)))</formula>
    </cfRule>
    <cfRule type="containsText" dxfId="542" priority="28" operator="containsText" text="Yet to be approved">
      <formula>NOT(ISERROR(SEARCH("Yet to be approved",D61)))</formula>
    </cfRule>
  </conditionalFormatting>
  <conditionalFormatting sqref="D66">
    <cfRule type="containsText" dxfId="541" priority="25" operator="containsText" text="DPR not submitted">
      <formula>NOT(ISERROR(SEARCH("DPR not submitted",D66)))</formula>
    </cfRule>
    <cfRule type="containsText" dxfId="540" priority="26" operator="containsText" text="Yet to be approved">
      <formula>NOT(ISERROR(SEARCH("Yet to be approved",D66)))</formula>
    </cfRule>
  </conditionalFormatting>
  <conditionalFormatting sqref="D68">
    <cfRule type="containsText" dxfId="539" priority="23" operator="containsText" text="DPR not submitted">
      <formula>NOT(ISERROR(SEARCH("DPR not submitted",D68)))</formula>
    </cfRule>
    <cfRule type="containsText" dxfId="538" priority="24" operator="containsText" text="Yet to be approved">
      <formula>NOT(ISERROR(SEARCH("Yet to be approved",D68)))</formula>
    </cfRule>
  </conditionalFormatting>
  <conditionalFormatting sqref="D70">
    <cfRule type="containsText" dxfId="537" priority="21" operator="containsText" text="DPR not submitted">
      <formula>NOT(ISERROR(SEARCH("DPR not submitted",D70)))</formula>
    </cfRule>
    <cfRule type="containsText" dxfId="536" priority="22" operator="containsText" text="Yet to be approved">
      <formula>NOT(ISERROR(SEARCH("Yet to be approved",D70)))</formula>
    </cfRule>
  </conditionalFormatting>
  <conditionalFormatting sqref="BD1:BD9 BD102:BD1048576">
    <cfRule type="cellIs" dxfId="535" priority="51" operator="equal">
      <formula>$BF$7</formula>
    </cfRule>
    <cfRule type="cellIs" dxfId="534" priority="52" operator="equal">
      <formula>$BF$6</formula>
    </cfRule>
    <cfRule type="cellIs" dxfId="533" priority="53" operator="equal">
      <formula>$BF$5</formula>
    </cfRule>
    <cfRule type="cellIs" dxfId="532" priority="54" operator="equal">
      <formula>$BF$4</formula>
    </cfRule>
    <cfRule type="cellIs" dxfId="531" priority="55" operator="equal">
      <formula>$BF$3</formula>
    </cfRule>
    <cfRule type="cellIs" dxfId="530" priority="56" operator="equal">
      <formula>$BF$2</formula>
    </cfRule>
    <cfRule type="cellIs" dxfId="529" priority="57" operator="equal">
      <formula>$BF$1</formula>
    </cfRule>
  </conditionalFormatting>
  <conditionalFormatting sqref="D72">
    <cfRule type="containsText" dxfId="528" priority="19" operator="containsText" text="DPR not submitted">
      <formula>NOT(ISERROR(SEARCH("DPR not submitted",D72)))</formula>
    </cfRule>
    <cfRule type="containsText" dxfId="527" priority="20" operator="containsText" text="Yet to be approved">
      <formula>NOT(ISERROR(SEARCH("Yet to be approved",D72)))</formula>
    </cfRule>
  </conditionalFormatting>
  <conditionalFormatting sqref="D73:D74">
    <cfRule type="containsText" dxfId="526" priority="17" operator="containsText" text="DPR not submitted">
      <formula>NOT(ISERROR(SEARCH("DPR not submitted",D73)))</formula>
    </cfRule>
    <cfRule type="containsText" dxfId="525" priority="18" operator="containsText" text="Yet to be approved">
      <formula>NOT(ISERROR(SEARCH("Yet to be approved",D73)))</formula>
    </cfRule>
  </conditionalFormatting>
  <conditionalFormatting sqref="D75">
    <cfRule type="containsText" dxfId="524" priority="15" operator="containsText" text="DPR not submitted">
      <formula>NOT(ISERROR(SEARCH("DPR not submitted",D75)))</formula>
    </cfRule>
    <cfRule type="containsText" dxfId="523" priority="16" operator="containsText" text="Yet to be approved">
      <formula>NOT(ISERROR(SEARCH("Yet to be approved",D75)))</formula>
    </cfRule>
  </conditionalFormatting>
  <conditionalFormatting sqref="BD10:BD82 BD100:BD101 BD86:BD98">
    <cfRule type="cellIs" dxfId="522" priority="8" operator="equal">
      <formula>$BF$7</formula>
    </cfRule>
    <cfRule type="cellIs" dxfId="521" priority="9" operator="equal">
      <formula>$BF$6</formula>
    </cfRule>
    <cfRule type="cellIs" dxfId="520" priority="10" operator="equal">
      <formula>$BF$5</formula>
    </cfRule>
    <cfRule type="cellIs" dxfId="519" priority="11" operator="equal">
      <formula>$BF$4</formula>
    </cfRule>
    <cfRule type="cellIs" dxfId="518" priority="12" operator="equal">
      <formula>$BF$3</formula>
    </cfRule>
    <cfRule type="cellIs" dxfId="517" priority="13" operator="equal">
      <formula>$BF$2</formula>
    </cfRule>
    <cfRule type="cellIs" dxfId="516" priority="14" operator="equal">
      <formula>$BF$1</formula>
    </cfRule>
  </conditionalFormatting>
  <conditionalFormatting sqref="BD99">
    <cfRule type="cellIs" dxfId="515" priority="1" operator="equal">
      <formula>$BF$7</formula>
    </cfRule>
    <cfRule type="cellIs" dxfId="514" priority="2" operator="equal">
      <formula>$BF$6</formula>
    </cfRule>
    <cfRule type="cellIs" dxfId="513" priority="3" operator="equal">
      <formula>$BF$5</formula>
    </cfRule>
    <cfRule type="cellIs" dxfId="512" priority="4" operator="equal">
      <formula>$BF$4</formula>
    </cfRule>
    <cfRule type="cellIs" dxfId="511" priority="5" operator="equal">
      <formula>$BF$3</formula>
    </cfRule>
    <cfRule type="cellIs" dxfId="510" priority="6" operator="equal">
      <formula>$BF$2</formula>
    </cfRule>
    <cfRule type="cellIs" dxfId="509" priority="7" operator="equal">
      <formula>$BF$1</formula>
    </cfRule>
  </conditionalFormatting>
  <dataValidations count="5">
    <dataValidation type="list" allowBlank="1" showInputMessage="1" showErrorMessage="1" sqref="C83" xr:uid="{A3D7FE26-7C24-4FFF-8405-3165646C230E}">
      <formula1>$BE$1:$BE$3</formula1>
    </dataValidation>
    <dataValidation type="list" allowBlank="1" showInputMessage="1" showErrorMessage="1" sqref="C84:C85" xr:uid="{B0823317-8DEA-40BC-8D84-763C453CC141}">
      <formula1>$AB$5:$AB$7</formula1>
    </dataValidation>
    <dataValidation type="list" allowBlank="1" showInputMessage="1" showErrorMessage="1" sqref="BD86:BD225 BD7:BD82" xr:uid="{5E555ED9-04A5-471F-BCB1-0D933E44EBEA}">
      <formula1>$BF$1:$BF$8</formula1>
    </dataValidation>
    <dataValidation type="list" allowBlank="1" showInputMessage="1" showErrorMessage="1" sqref="C1:C82 C86:C1048576" xr:uid="{D19A86A6-57C6-4256-965A-51D1890B14DD}">
      <formula1>$BE$1:$BE$4</formula1>
    </dataValidation>
    <dataValidation type="list" allowBlank="1" showInputMessage="1" showErrorMessage="1" sqref="BD1:BD6 BD226:BD1048576" xr:uid="{CB852D58-8553-4893-835C-58DCBC5744EE}">
      <formula1>$BF$1:$BF$6</formula1>
    </dataValidation>
  </dataValidations>
  <pageMargins left="0.39370078740157483" right="0.39370078740157483" top="0.39370078740157483" bottom="0.39370078740157483" header="0.23622047244094491" footer="0.23622047244094491"/>
  <pageSetup paperSize="9" scale="52" fitToWidth="5" fitToHeight="50" pageOrder="overThenDown" orientation="landscape" blackAndWhite="1" r:id="rId1"/>
  <headerFooter alignWithMargins="0">
    <oddHeader>&amp;F</oddHeader>
  </headerFooter>
  <colBreaks count="3" manualBreakCount="3">
    <brk id="10" max="132" man="1"/>
    <brk id="28" max="132" man="1"/>
    <brk id="53" max="132"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765"/>
  <sheetViews>
    <sheetView showGridLines="0" view="pageBreakPreview" topLeftCell="D1" zoomScale="80" zoomScaleNormal="80" zoomScaleSheetLayoutView="80" workbookViewId="0">
      <pane ySplit="6" topLeftCell="A7" activePane="bottomLeft" state="frozen"/>
      <selection activeCell="BE1" sqref="BE1:BF1048576"/>
      <selection pane="bottomLeft" activeCell="N100" sqref="A1:XFD1048576"/>
    </sheetView>
  </sheetViews>
  <sheetFormatPr defaultColWidth="9.1796875" defaultRowHeight="14" outlineLevelRow="1" x14ac:dyDescent="0.25"/>
  <cols>
    <col min="1" max="1" width="8.26953125" style="91" customWidth="1"/>
    <col min="2" max="2" width="62.54296875" style="473" customWidth="1"/>
    <col min="3" max="3" width="29.453125" style="544" customWidth="1"/>
    <col min="4" max="4" width="13.7265625" style="1335" customWidth="1"/>
    <col min="5" max="5" width="12.7265625" style="323" customWidth="1"/>
    <col min="6" max="6" width="17.81640625" style="323" customWidth="1"/>
    <col min="7" max="7" width="14.81640625" style="323" customWidth="1"/>
    <col min="8" max="8" width="12.1796875" style="323" customWidth="1"/>
    <col min="9" max="9" width="14.81640625" style="323" customWidth="1"/>
    <col min="10" max="10" width="15.26953125" style="323" customWidth="1"/>
    <col min="11" max="11" width="16.54296875" style="323" customWidth="1"/>
    <col min="12" max="12" width="17.1796875" style="323" customWidth="1"/>
    <col min="13" max="13" width="19" style="323" customWidth="1"/>
    <col min="14" max="14" width="10.54296875" style="323" customWidth="1"/>
    <col min="15" max="15" width="16.7265625" style="91" customWidth="1"/>
    <col min="16" max="16" width="18.54296875" style="91" customWidth="1"/>
    <col min="17" max="16384" width="9.1796875" style="91"/>
  </cols>
  <sheetData>
    <row r="1" spans="1:16" x14ac:dyDescent="0.25">
      <c r="B1" s="219"/>
      <c r="C1" s="542"/>
      <c r="D1" s="1325"/>
      <c r="E1" s="1436"/>
      <c r="F1" s="1436"/>
      <c r="G1" s="1397" t="s">
        <v>1747</v>
      </c>
      <c r="H1" s="1436"/>
      <c r="I1" s="1436"/>
      <c r="J1" s="1436"/>
      <c r="K1" s="1436"/>
      <c r="L1" s="1437"/>
      <c r="M1" s="1437"/>
      <c r="N1" s="1437"/>
    </row>
    <row r="2" spans="1:16" x14ac:dyDescent="0.25">
      <c r="B2" s="816"/>
      <c r="C2" s="1381"/>
      <c r="D2" s="1438"/>
      <c r="E2" s="1439"/>
      <c r="F2" s="1439"/>
      <c r="G2" s="1397" t="s">
        <v>1748</v>
      </c>
      <c r="H2" s="1439"/>
      <c r="I2" s="1439"/>
      <c r="J2" s="1439"/>
      <c r="K2" s="1439"/>
      <c r="L2" s="1390"/>
      <c r="M2" s="1390"/>
      <c r="N2" s="1390"/>
    </row>
    <row r="3" spans="1:16" ht="17.5" x14ac:dyDescent="0.25">
      <c r="B3" s="1440" t="s">
        <v>0</v>
      </c>
      <c r="C3" s="1441"/>
      <c r="D3" s="1442"/>
      <c r="E3" s="1395"/>
      <c r="F3" s="1395"/>
      <c r="G3" s="1397" t="s">
        <v>636</v>
      </c>
      <c r="H3" s="1395"/>
      <c r="I3" s="1395"/>
      <c r="J3" s="1395"/>
      <c r="K3" s="1395"/>
      <c r="L3" s="1443"/>
      <c r="M3" s="1444" t="s">
        <v>10</v>
      </c>
      <c r="N3" s="1443"/>
    </row>
    <row r="4" spans="1:16" ht="23.25" customHeight="1" x14ac:dyDescent="0.25">
      <c r="A4" s="1639" t="s">
        <v>340</v>
      </c>
      <c r="B4" s="1639" t="s">
        <v>16</v>
      </c>
      <c r="C4" s="1639" t="s">
        <v>487</v>
      </c>
      <c r="D4" s="1746" t="s">
        <v>488</v>
      </c>
      <c r="E4" s="1744" t="s">
        <v>52</v>
      </c>
      <c r="F4" s="1755" t="s">
        <v>497</v>
      </c>
      <c r="G4" s="1744" t="s">
        <v>498</v>
      </c>
      <c r="H4" s="1744" t="s">
        <v>51</v>
      </c>
      <c r="I4" s="1744" t="s">
        <v>50</v>
      </c>
      <c r="J4" s="1744" t="s">
        <v>49</v>
      </c>
      <c r="K4" s="1744"/>
      <c r="L4" s="1744"/>
      <c r="M4" s="1744"/>
      <c r="N4" s="1744" t="s">
        <v>48</v>
      </c>
    </row>
    <row r="5" spans="1:16" ht="23.25" customHeight="1" x14ac:dyDescent="0.25">
      <c r="A5" s="1639"/>
      <c r="B5" s="1639"/>
      <c r="C5" s="1639"/>
      <c r="D5" s="1746"/>
      <c r="E5" s="1744"/>
      <c r="F5" s="1757"/>
      <c r="G5" s="1744"/>
      <c r="H5" s="1744"/>
      <c r="I5" s="1744"/>
      <c r="J5" s="1744"/>
      <c r="K5" s="1744"/>
      <c r="L5" s="1744"/>
      <c r="M5" s="1744"/>
      <c r="N5" s="1744"/>
    </row>
    <row r="6" spans="1:16" ht="29" x14ac:dyDescent="0.25">
      <c r="A6" s="1639"/>
      <c r="B6" s="1639"/>
      <c r="C6" s="1639"/>
      <c r="D6" s="1746"/>
      <c r="E6" s="1744"/>
      <c r="F6" s="1756"/>
      <c r="G6" s="1744"/>
      <c r="H6" s="1744"/>
      <c r="I6" s="1744"/>
      <c r="J6" s="1435" t="s">
        <v>47</v>
      </c>
      <c r="K6" s="1435" t="s">
        <v>46</v>
      </c>
      <c r="L6" s="1435" t="s">
        <v>45</v>
      </c>
      <c r="M6" s="1435" t="s">
        <v>44</v>
      </c>
      <c r="N6" s="1744"/>
      <c r="O6" s="1326" t="s">
        <v>1732</v>
      </c>
      <c r="P6" s="1326" t="s">
        <v>1733</v>
      </c>
    </row>
    <row r="7" spans="1:16" ht="15" thickBot="1" x14ac:dyDescent="0.3">
      <c r="A7" s="1445"/>
      <c r="B7" s="543" t="s">
        <v>505</v>
      </c>
      <c r="C7" s="1446"/>
      <c r="D7" s="1447"/>
      <c r="E7" s="315"/>
      <c r="F7" s="315"/>
      <c r="G7" s="315"/>
      <c r="H7" s="315"/>
      <c r="I7" s="315"/>
      <c r="J7" s="315"/>
      <c r="K7" s="315"/>
      <c r="L7" s="315"/>
      <c r="M7" s="315"/>
      <c r="N7" s="315"/>
      <c r="O7" s="1448"/>
      <c r="P7" s="1448"/>
    </row>
    <row r="8" spans="1:16" ht="15" hidden="1" customHeight="1" outlineLevel="1" thickBot="1" x14ac:dyDescent="0.35">
      <c r="A8" s="1280"/>
      <c r="B8" s="1327" t="s">
        <v>23</v>
      </c>
      <c r="C8" s="1446"/>
      <c r="D8" s="1447"/>
      <c r="E8" s="315"/>
      <c r="F8" s="315"/>
      <c r="G8" s="315"/>
      <c r="H8" s="315"/>
      <c r="I8" s="315"/>
      <c r="J8" s="315"/>
      <c r="K8" s="315"/>
      <c r="L8" s="315"/>
      <c r="M8" s="315"/>
      <c r="N8" s="315"/>
      <c r="O8" s="1448"/>
      <c r="P8" s="1448"/>
    </row>
    <row r="9" spans="1:16" ht="14.5" hidden="1" customHeight="1" outlineLevel="1" thickBot="1" x14ac:dyDescent="0.3">
      <c r="A9" s="1280"/>
      <c r="B9" s="1282" t="s">
        <v>24</v>
      </c>
      <c r="C9" s="1449"/>
      <c r="D9" s="1450"/>
      <c r="E9" s="315"/>
      <c r="F9" s="315"/>
      <c r="G9" s="315"/>
      <c r="H9" s="315"/>
      <c r="I9" s="315"/>
      <c r="J9" s="315"/>
      <c r="K9" s="315"/>
      <c r="L9" s="315"/>
      <c r="M9" s="315"/>
      <c r="N9" s="315"/>
      <c r="O9" s="1448"/>
      <c r="P9" s="1448"/>
    </row>
    <row r="10" spans="1:16" ht="31" hidden="1" customHeight="1" outlineLevel="1" thickBot="1" x14ac:dyDescent="0.3">
      <c r="A10" s="1406">
        <v>1</v>
      </c>
      <c r="B10" s="1407" t="s">
        <v>941</v>
      </c>
      <c r="C10" s="1406" t="s">
        <v>1696</v>
      </c>
      <c r="D10" s="1451">
        <v>41022</v>
      </c>
      <c r="E10" s="1452">
        <v>10.177999999999999</v>
      </c>
      <c r="F10" s="1452">
        <v>0</v>
      </c>
      <c r="G10" s="1452">
        <v>0</v>
      </c>
      <c r="H10" s="1452">
        <f>F10-G10</f>
        <v>0</v>
      </c>
      <c r="I10" s="1452">
        <v>0</v>
      </c>
      <c r="J10" s="1452">
        <v>0</v>
      </c>
      <c r="K10" s="1452"/>
      <c r="L10" s="1452"/>
      <c r="M10" s="1452">
        <f>SUM(J10:L10)</f>
        <v>0</v>
      </c>
      <c r="N10" s="1452">
        <f>H10+I10-M10</f>
        <v>0</v>
      </c>
      <c r="O10" s="1453">
        <f t="shared" ref="O10:O71" si="0">MAX(0,IF(M10=0,0,IF(G10+M10&lt;E10,M10,E10-G10)))</f>
        <v>0</v>
      </c>
      <c r="P10" s="1328">
        <f t="shared" ref="P10:P71" si="1">M10-O10</f>
        <v>0</v>
      </c>
    </row>
    <row r="11" spans="1:16" ht="15.5" hidden="1" customHeight="1" outlineLevel="1" thickBot="1" x14ac:dyDescent="0.3">
      <c r="A11" s="1411">
        <v>1.1000000000000001</v>
      </c>
      <c r="B11" s="1412" t="s">
        <v>944</v>
      </c>
      <c r="C11" s="1411" t="s">
        <v>1696</v>
      </c>
      <c r="D11" s="1454">
        <v>41022</v>
      </c>
      <c r="E11" s="1414">
        <v>3.524</v>
      </c>
      <c r="F11" s="1452">
        <v>3.47</v>
      </c>
      <c r="G11" s="1452">
        <v>3.47</v>
      </c>
      <c r="H11" s="1452">
        <f t="shared" ref="H11:H74" si="2">F11-G11</f>
        <v>0</v>
      </c>
      <c r="I11" s="1452">
        <v>0</v>
      </c>
      <c r="J11" s="1452">
        <v>0</v>
      </c>
      <c r="K11" s="1414"/>
      <c r="L11" s="1414"/>
      <c r="M11" s="1414">
        <f t="shared" ref="M11:M74" si="3">SUM(J11:L11)</f>
        <v>0</v>
      </c>
      <c r="N11" s="1414">
        <f t="shared" ref="N11:N74" si="4">H11+I11-M11</f>
        <v>0</v>
      </c>
      <c r="O11" s="1453">
        <f t="shared" si="0"/>
        <v>0</v>
      </c>
      <c r="P11" s="1328">
        <f t="shared" si="1"/>
        <v>0</v>
      </c>
    </row>
    <row r="12" spans="1:16" ht="15.5" hidden="1" customHeight="1" outlineLevel="1" thickBot="1" x14ac:dyDescent="0.3">
      <c r="A12" s="1411"/>
      <c r="B12" s="1412" t="s">
        <v>414</v>
      </c>
      <c r="C12" s="1411" t="s">
        <v>1696</v>
      </c>
      <c r="D12" s="1454">
        <v>41022</v>
      </c>
      <c r="E12" s="1414">
        <v>0.20300000000000001</v>
      </c>
      <c r="F12" s="1452">
        <v>0</v>
      </c>
      <c r="G12" s="1452">
        <v>0</v>
      </c>
      <c r="H12" s="1452">
        <f t="shared" si="2"/>
        <v>0</v>
      </c>
      <c r="I12" s="1452">
        <v>0</v>
      </c>
      <c r="J12" s="1452">
        <v>0</v>
      </c>
      <c r="K12" s="1414"/>
      <c r="L12" s="1414"/>
      <c r="M12" s="1414">
        <f t="shared" si="3"/>
        <v>0</v>
      </c>
      <c r="N12" s="1414">
        <f t="shared" si="4"/>
        <v>0</v>
      </c>
      <c r="O12" s="1453">
        <f t="shared" si="0"/>
        <v>0</v>
      </c>
      <c r="P12" s="1328">
        <f t="shared" si="1"/>
        <v>0</v>
      </c>
    </row>
    <row r="13" spans="1:16" ht="15.5" hidden="1" customHeight="1" outlineLevel="1" thickBot="1" x14ac:dyDescent="0.3">
      <c r="A13" s="1411">
        <v>1.2</v>
      </c>
      <c r="B13" s="1412" t="s">
        <v>948</v>
      </c>
      <c r="C13" s="1411" t="s">
        <v>1696</v>
      </c>
      <c r="D13" s="1454">
        <v>41022</v>
      </c>
      <c r="E13" s="1414">
        <v>6.0940000000000003</v>
      </c>
      <c r="F13" s="1452">
        <v>5.32</v>
      </c>
      <c r="G13" s="1452">
        <v>5.32</v>
      </c>
      <c r="H13" s="1452">
        <f t="shared" si="2"/>
        <v>0</v>
      </c>
      <c r="I13" s="1452">
        <v>0</v>
      </c>
      <c r="J13" s="1452">
        <v>0</v>
      </c>
      <c r="K13" s="1414"/>
      <c r="L13" s="1414"/>
      <c r="M13" s="1414">
        <f t="shared" si="3"/>
        <v>0</v>
      </c>
      <c r="N13" s="1414">
        <f t="shared" si="4"/>
        <v>0</v>
      </c>
      <c r="O13" s="1453">
        <f t="shared" si="0"/>
        <v>0</v>
      </c>
      <c r="P13" s="1328">
        <f t="shared" si="1"/>
        <v>0</v>
      </c>
    </row>
    <row r="14" spans="1:16" ht="15.5" hidden="1" customHeight="1" outlineLevel="1" thickBot="1" x14ac:dyDescent="0.3">
      <c r="A14" s="1411"/>
      <c r="B14" s="1412" t="s">
        <v>414</v>
      </c>
      <c r="C14" s="1411" t="s">
        <v>1696</v>
      </c>
      <c r="D14" s="1454">
        <v>41022</v>
      </c>
      <c r="E14" s="1414">
        <v>0.35699999999999998</v>
      </c>
      <c r="F14" s="1452">
        <v>0</v>
      </c>
      <c r="G14" s="1452">
        <v>0</v>
      </c>
      <c r="H14" s="1452">
        <f t="shared" si="2"/>
        <v>0</v>
      </c>
      <c r="I14" s="1452">
        <v>0</v>
      </c>
      <c r="J14" s="1452">
        <v>0</v>
      </c>
      <c r="K14" s="1414"/>
      <c r="L14" s="1414"/>
      <c r="M14" s="1414">
        <f t="shared" si="3"/>
        <v>0</v>
      </c>
      <c r="N14" s="1414">
        <f t="shared" si="4"/>
        <v>0</v>
      </c>
      <c r="O14" s="1453">
        <f t="shared" si="0"/>
        <v>0</v>
      </c>
      <c r="P14" s="1328">
        <f t="shared" si="1"/>
        <v>0</v>
      </c>
    </row>
    <row r="15" spans="1:16" ht="31" hidden="1" customHeight="1" outlineLevel="1" thickBot="1" x14ac:dyDescent="0.3">
      <c r="A15" s="1406">
        <v>2</v>
      </c>
      <c r="B15" s="1407" t="s">
        <v>951</v>
      </c>
      <c r="C15" s="1406" t="s">
        <v>1699</v>
      </c>
      <c r="D15" s="1451">
        <v>41285</v>
      </c>
      <c r="E15" s="1452">
        <v>16.783805100000002</v>
      </c>
      <c r="F15" s="1452">
        <v>0</v>
      </c>
      <c r="G15" s="1452">
        <v>0</v>
      </c>
      <c r="H15" s="1452">
        <f t="shared" si="2"/>
        <v>0</v>
      </c>
      <c r="I15" s="1452">
        <v>0</v>
      </c>
      <c r="J15" s="1452">
        <v>0</v>
      </c>
      <c r="K15" s="1452"/>
      <c r="L15" s="1452"/>
      <c r="M15" s="1452">
        <f t="shared" si="3"/>
        <v>0</v>
      </c>
      <c r="N15" s="1452">
        <f t="shared" si="4"/>
        <v>0</v>
      </c>
      <c r="O15" s="1453">
        <f t="shared" si="0"/>
        <v>0</v>
      </c>
      <c r="P15" s="1328">
        <f t="shared" si="1"/>
        <v>0</v>
      </c>
    </row>
    <row r="16" spans="1:16" ht="31" hidden="1" customHeight="1" outlineLevel="1" thickBot="1" x14ac:dyDescent="0.3">
      <c r="A16" s="1411">
        <v>2.1</v>
      </c>
      <c r="B16" s="1412" t="s">
        <v>952</v>
      </c>
      <c r="C16" s="1411" t="s">
        <v>1699</v>
      </c>
      <c r="D16" s="1454">
        <v>41285</v>
      </c>
      <c r="E16" s="1414">
        <v>0.28599999999999998</v>
      </c>
      <c r="F16" s="1452">
        <v>0</v>
      </c>
      <c r="G16" s="1452">
        <v>0</v>
      </c>
      <c r="H16" s="1452">
        <f t="shared" si="2"/>
        <v>0</v>
      </c>
      <c r="I16" s="1452">
        <v>0</v>
      </c>
      <c r="J16" s="1452">
        <v>0</v>
      </c>
      <c r="K16" s="1414"/>
      <c r="L16" s="1414"/>
      <c r="M16" s="1414">
        <f t="shared" si="3"/>
        <v>0</v>
      </c>
      <c r="N16" s="1414">
        <f t="shared" si="4"/>
        <v>0</v>
      </c>
      <c r="O16" s="1453">
        <f t="shared" si="0"/>
        <v>0</v>
      </c>
      <c r="P16" s="1328">
        <f t="shared" si="1"/>
        <v>0</v>
      </c>
    </row>
    <row r="17" spans="1:16" ht="31" hidden="1" customHeight="1" outlineLevel="1" thickBot="1" x14ac:dyDescent="0.3">
      <c r="A17" s="1411">
        <v>2.2000000000000002</v>
      </c>
      <c r="B17" s="1412" t="s">
        <v>954</v>
      </c>
      <c r="C17" s="1411" t="s">
        <v>1699</v>
      </c>
      <c r="D17" s="1454">
        <v>41285</v>
      </c>
      <c r="E17" s="1414">
        <v>0.51900000000000002</v>
      </c>
      <c r="F17" s="1452">
        <v>0</v>
      </c>
      <c r="G17" s="1452">
        <v>0</v>
      </c>
      <c r="H17" s="1452">
        <f t="shared" si="2"/>
        <v>0</v>
      </c>
      <c r="I17" s="1452">
        <v>0</v>
      </c>
      <c r="J17" s="1452">
        <v>0</v>
      </c>
      <c r="K17" s="1414"/>
      <c r="L17" s="1414"/>
      <c r="M17" s="1414">
        <f t="shared" si="3"/>
        <v>0</v>
      </c>
      <c r="N17" s="1414">
        <f t="shared" si="4"/>
        <v>0</v>
      </c>
      <c r="O17" s="1453">
        <f t="shared" si="0"/>
        <v>0</v>
      </c>
      <c r="P17" s="1328">
        <f t="shared" si="1"/>
        <v>0</v>
      </c>
    </row>
    <row r="18" spans="1:16" ht="31" hidden="1" customHeight="1" outlineLevel="1" thickBot="1" x14ac:dyDescent="0.3">
      <c r="A18" s="1411">
        <v>2.2999999999999998</v>
      </c>
      <c r="B18" s="1412" t="s">
        <v>956</v>
      </c>
      <c r="C18" s="1411" t="s">
        <v>1699</v>
      </c>
      <c r="D18" s="1454">
        <v>41285</v>
      </c>
      <c r="E18" s="1414">
        <v>0.29299999999999998</v>
      </c>
      <c r="F18" s="1452">
        <v>0</v>
      </c>
      <c r="G18" s="1452">
        <v>0</v>
      </c>
      <c r="H18" s="1452">
        <f t="shared" si="2"/>
        <v>0</v>
      </c>
      <c r="I18" s="1452">
        <v>0</v>
      </c>
      <c r="J18" s="1452">
        <v>0</v>
      </c>
      <c r="K18" s="1414"/>
      <c r="L18" s="1414"/>
      <c r="M18" s="1414">
        <f t="shared" si="3"/>
        <v>0</v>
      </c>
      <c r="N18" s="1414">
        <f t="shared" si="4"/>
        <v>0</v>
      </c>
      <c r="O18" s="1453">
        <f t="shared" si="0"/>
        <v>0</v>
      </c>
      <c r="P18" s="1328">
        <f t="shared" si="1"/>
        <v>0</v>
      </c>
    </row>
    <row r="19" spans="1:16" ht="31" hidden="1" customHeight="1" outlineLevel="1" thickBot="1" x14ac:dyDescent="0.3">
      <c r="A19" s="1411">
        <v>2.4</v>
      </c>
      <c r="B19" s="1412" t="s">
        <v>957</v>
      </c>
      <c r="C19" s="1411" t="s">
        <v>1699</v>
      </c>
      <c r="D19" s="1454">
        <v>41285</v>
      </c>
      <c r="E19" s="1414">
        <v>0.20599999999999999</v>
      </c>
      <c r="F19" s="1452">
        <v>0.26354099999999997</v>
      </c>
      <c r="G19" s="1452">
        <v>0.26354099999999997</v>
      </c>
      <c r="H19" s="1452">
        <f t="shared" si="2"/>
        <v>0</v>
      </c>
      <c r="I19" s="1452">
        <v>0</v>
      </c>
      <c r="J19" s="1452">
        <v>0</v>
      </c>
      <c r="K19" s="1414"/>
      <c r="L19" s="1414"/>
      <c r="M19" s="1414">
        <f t="shared" si="3"/>
        <v>0</v>
      </c>
      <c r="N19" s="1414">
        <f t="shared" si="4"/>
        <v>0</v>
      </c>
      <c r="O19" s="1453">
        <f t="shared" si="0"/>
        <v>0</v>
      </c>
      <c r="P19" s="1328">
        <f t="shared" si="1"/>
        <v>0</v>
      </c>
    </row>
    <row r="20" spans="1:16" ht="31" hidden="1" customHeight="1" outlineLevel="1" thickBot="1" x14ac:dyDescent="0.3">
      <c r="A20" s="1411">
        <v>2.5</v>
      </c>
      <c r="B20" s="1412" t="s">
        <v>959</v>
      </c>
      <c r="C20" s="1411" t="s">
        <v>1699</v>
      </c>
      <c r="D20" s="1454">
        <v>41285</v>
      </c>
      <c r="E20" s="1414">
        <v>8.3689999999999998</v>
      </c>
      <c r="F20" s="1452">
        <v>5.319992955</v>
      </c>
      <c r="G20" s="1452">
        <v>5.319992955</v>
      </c>
      <c r="H20" s="1452">
        <f t="shared" si="2"/>
        <v>0</v>
      </c>
      <c r="I20" s="1452">
        <v>0</v>
      </c>
      <c r="J20" s="1452">
        <v>0</v>
      </c>
      <c r="K20" s="1414"/>
      <c r="L20" s="1414"/>
      <c r="M20" s="1414">
        <f t="shared" si="3"/>
        <v>0</v>
      </c>
      <c r="N20" s="1414">
        <f t="shared" si="4"/>
        <v>0</v>
      </c>
      <c r="O20" s="1453">
        <f t="shared" si="0"/>
        <v>0</v>
      </c>
      <c r="P20" s="1328">
        <f t="shared" si="1"/>
        <v>0</v>
      </c>
    </row>
    <row r="21" spans="1:16" ht="31" hidden="1" customHeight="1" outlineLevel="1" thickBot="1" x14ac:dyDescent="0.3">
      <c r="A21" s="1411">
        <v>2.6</v>
      </c>
      <c r="B21" s="1412" t="s">
        <v>961</v>
      </c>
      <c r="C21" s="1411" t="s">
        <v>1699</v>
      </c>
      <c r="D21" s="1454">
        <v>41285</v>
      </c>
      <c r="E21" s="1414">
        <v>6.032</v>
      </c>
      <c r="F21" s="1452">
        <v>3.47281854</v>
      </c>
      <c r="G21" s="1452">
        <v>3.47281854</v>
      </c>
      <c r="H21" s="1452">
        <f t="shared" si="2"/>
        <v>0</v>
      </c>
      <c r="I21" s="1452">
        <v>0</v>
      </c>
      <c r="J21" s="1452">
        <v>0</v>
      </c>
      <c r="K21" s="1414"/>
      <c r="L21" s="1414"/>
      <c r="M21" s="1414">
        <f t="shared" si="3"/>
        <v>0</v>
      </c>
      <c r="N21" s="1414">
        <f t="shared" si="4"/>
        <v>0</v>
      </c>
      <c r="O21" s="1453">
        <f t="shared" si="0"/>
        <v>0</v>
      </c>
      <c r="P21" s="1328">
        <f t="shared" si="1"/>
        <v>0</v>
      </c>
    </row>
    <row r="22" spans="1:16" ht="31" hidden="1" customHeight="1" outlineLevel="1" thickBot="1" x14ac:dyDescent="0.3">
      <c r="A22" s="1411">
        <v>2.7</v>
      </c>
      <c r="B22" s="1412" t="s">
        <v>963</v>
      </c>
      <c r="C22" s="1411" t="s">
        <v>1699</v>
      </c>
      <c r="D22" s="1454">
        <v>41285</v>
      </c>
      <c r="E22" s="1414">
        <v>0.1488051</v>
      </c>
      <c r="F22" s="1452">
        <v>0.1488051</v>
      </c>
      <c r="G22" s="1452">
        <v>0.1488051</v>
      </c>
      <c r="H22" s="1452">
        <f t="shared" si="2"/>
        <v>0</v>
      </c>
      <c r="I22" s="1452">
        <v>0</v>
      </c>
      <c r="J22" s="1452">
        <v>0</v>
      </c>
      <c r="K22" s="1414"/>
      <c r="L22" s="1414"/>
      <c r="M22" s="1414">
        <f t="shared" si="3"/>
        <v>0</v>
      </c>
      <c r="N22" s="1414">
        <f t="shared" si="4"/>
        <v>0</v>
      </c>
      <c r="O22" s="1453">
        <f t="shared" si="0"/>
        <v>0</v>
      </c>
      <c r="P22" s="1328">
        <f t="shared" si="1"/>
        <v>0</v>
      </c>
    </row>
    <row r="23" spans="1:16" ht="31" hidden="1" customHeight="1" outlineLevel="1" thickBot="1" x14ac:dyDescent="0.3">
      <c r="A23" s="1416"/>
      <c r="B23" s="1412" t="s">
        <v>414</v>
      </c>
      <c r="C23" s="1411" t="s">
        <v>1699</v>
      </c>
      <c r="D23" s="1454">
        <v>41285</v>
      </c>
      <c r="E23" s="1455">
        <v>0.93</v>
      </c>
      <c r="F23" s="1452">
        <v>0</v>
      </c>
      <c r="G23" s="1452">
        <v>0</v>
      </c>
      <c r="H23" s="1452">
        <f t="shared" si="2"/>
        <v>0</v>
      </c>
      <c r="I23" s="1452">
        <v>0</v>
      </c>
      <c r="J23" s="1452">
        <v>0</v>
      </c>
      <c r="K23" s="1455"/>
      <c r="L23" s="1455"/>
      <c r="M23" s="1455">
        <f t="shared" si="3"/>
        <v>0</v>
      </c>
      <c r="N23" s="1455">
        <f t="shared" si="4"/>
        <v>0</v>
      </c>
      <c r="O23" s="1453">
        <f t="shared" si="0"/>
        <v>0</v>
      </c>
      <c r="P23" s="1328">
        <f t="shared" si="1"/>
        <v>0</v>
      </c>
    </row>
    <row r="24" spans="1:16" ht="31" hidden="1" customHeight="1" outlineLevel="1" thickBot="1" x14ac:dyDescent="0.3">
      <c r="A24" s="1406">
        <v>3</v>
      </c>
      <c r="B24" s="1407" t="s">
        <v>965</v>
      </c>
      <c r="C24" s="1406" t="s">
        <v>1702</v>
      </c>
      <c r="D24" s="1451">
        <v>41114</v>
      </c>
      <c r="E24" s="1452">
        <v>45.918030000000002</v>
      </c>
      <c r="F24" s="1452">
        <v>0</v>
      </c>
      <c r="G24" s="1452">
        <v>0</v>
      </c>
      <c r="H24" s="1452">
        <f t="shared" si="2"/>
        <v>0</v>
      </c>
      <c r="I24" s="1452">
        <v>0</v>
      </c>
      <c r="J24" s="1452">
        <v>0</v>
      </c>
      <c r="K24" s="1452"/>
      <c r="L24" s="1452"/>
      <c r="M24" s="1452">
        <f t="shared" si="3"/>
        <v>0</v>
      </c>
      <c r="N24" s="1452">
        <f t="shared" si="4"/>
        <v>0</v>
      </c>
      <c r="O24" s="1453">
        <f t="shared" si="0"/>
        <v>0</v>
      </c>
      <c r="P24" s="1328">
        <f t="shared" si="1"/>
        <v>0</v>
      </c>
    </row>
    <row r="25" spans="1:16" ht="15.5" hidden="1" customHeight="1" outlineLevel="1" thickBot="1" x14ac:dyDescent="0.3">
      <c r="A25" s="1416">
        <v>3.1</v>
      </c>
      <c r="B25" s="1412" t="s">
        <v>966</v>
      </c>
      <c r="C25" s="1416" t="s">
        <v>1702</v>
      </c>
      <c r="D25" s="1456">
        <v>41114</v>
      </c>
      <c r="E25" s="1414">
        <v>0.8044</v>
      </c>
      <c r="F25" s="1452">
        <v>0</v>
      </c>
      <c r="G25" s="1452">
        <v>0</v>
      </c>
      <c r="H25" s="1452">
        <f t="shared" si="2"/>
        <v>0</v>
      </c>
      <c r="I25" s="1452">
        <v>0</v>
      </c>
      <c r="J25" s="1452">
        <v>0</v>
      </c>
      <c r="K25" s="1414"/>
      <c r="L25" s="1414"/>
      <c r="M25" s="1414">
        <f t="shared" si="3"/>
        <v>0</v>
      </c>
      <c r="N25" s="1414">
        <f t="shared" si="4"/>
        <v>0</v>
      </c>
      <c r="O25" s="1453">
        <f t="shared" si="0"/>
        <v>0</v>
      </c>
      <c r="P25" s="1328">
        <f t="shared" si="1"/>
        <v>0</v>
      </c>
    </row>
    <row r="26" spans="1:16" ht="15.5" hidden="1" customHeight="1" outlineLevel="1" thickBot="1" x14ac:dyDescent="0.3">
      <c r="A26" s="1416">
        <v>3.2</v>
      </c>
      <c r="B26" s="1412" t="s">
        <v>967</v>
      </c>
      <c r="C26" s="1416" t="s">
        <v>1702</v>
      </c>
      <c r="D26" s="1456">
        <v>41114</v>
      </c>
      <c r="E26" s="1414">
        <v>0.41149999999999998</v>
      </c>
      <c r="F26" s="1452">
        <v>0</v>
      </c>
      <c r="G26" s="1452">
        <v>0</v>
      </c>
      <c r="H26" s="1452">
        <f t="shared" si="2"/>
        <v>0</v>
      </c>
      <c r="I26" s="1452">
        <v>0</v>
      </c>
      <c r="J26" s="1452">
        <v>0</v>
      </c>
      <c r="K26" s="1414"/>
      <c r="L26" s="1414"/>
      <c r="M26" s="1414">
        <f t="shared" si="3"/>
        <v>0</v>
      </c>
      <c r="N26" s="1414">
        <f t="shared" si="4"/>
        <v>0</v>
      </c>
      <c r="O26" s="1453">
        <f t="shared" si="0"/>
        <v>0</v>
      </c>
      <c r="P26" s="1328">
        <f t="shared" si="1"/>
        <v>0</v>
      </c>
    </row>
    <row r="27" spans="1:16" ht="15.5" hidden="1" customHeight="1" outlineLevel="1" thickBot="1" x14ac:dyDescent="0.3">
      <c r="A27" s="1416">
        <v>3.3</v>
      </c>
      <c r="B27" s="1412" t="s">
        <v>968</v>
      </c>
      <c r="C27" s="1416" t="s">
        <v>1702</v>
      </c>
      <c r="D27" s="1456">
        <v>41114</v>
      </c>
      <c r="E27" s="1414">
        <v>21.96</v>
      </c>
      <c r="F27" s="1452">
        <v>0</v>
      </c>
      <c r="G27" s="1452">
        <v>0</v>
      </c>
      <c r="H27" s="1452">
        <f t="shared" si="2"/>
        <v>0</v>
      </c>
      <c r="I27" s="1452">
        <v>0</v>
      </c>
      <c r="J27" s="1452">
        <v>0</v>
      </c>
      <c r="K27" s="1414"/>
      <c r="L27" s="1414"/>
      <c r="M27" s="1414">
        <f t="shared" si="3"/>
        <v>0</v>
      </c>
      <c r="N27" s="1414">
        <f t="shared" si="4"/>
        <v>0</v>
      </c>
      <c r="O27" s="1453">
        <f t="shared" si="0"/>
        <v>0</v>
      </c>
      <c r="P27" s="1328">
        <f t="shared" si="1"/>
        <v>0</v>
      </c>
    </row>
    <row r="28" spans="1:16" ht="31" hidden="1" customHeight="1" outlineLevel="1" thickBot="1" x14ac:dyDescent="0.3">
      <c r="A28" s="1416">
        <v>3.4</v>
      </c>
      <c r="B28" s="1412" t="s">
        <v>969</v>
      </c>
      <c r="C28" s="1416" t="s">
        <v>1702</v>
      </c>
      <c r="D28" s="1456">
        <v>41114</v>
      </c>
      <c r="E28" s="1414">
        <v>2.0714999999999999</v>
      </c>
      <c r="F28" s="1452">
        <v>0</v>
      </c>
      <c r="G28" s="1452">
        <v>0</v>
      </c>
      <c r="H28" s="1452">
        <f t="shared" si="2"/>
        <v>0</v>
      </c>
      <c r="I28" s="1452">
        <v>0</v>
      </c>
      <c r="J28" s="1452">
        <v>0</v>
      </c>
      <c r="K28" s="1414"/>
      <c r="L28" s="1414"/>
      <c r="M28" s="1414">
        <f t="shared" si="3"/>
        <v>0</v>
      </c>
      <c r="N28" s="1414">
        <f t="shared" si="4"/>
        <v>0</v>
      </c>
      <c r="O28" s="1453">
        <f t="shared" si="0"/>
        <v>0</v>
      </c>
      <c r="P28" s="1328">
        <f t="shared" si="1"/>
        <v>0</v>
      </c>
    </row>
    <row r="29" spans="1:16" ht="93" hidden="1" customHeight="1" outlineLevel="1" thickBot="1" x14ac:dyDescent="0.3">
      <c r="A29" s="1416">
        <v>3.5</v>
      </c>
      <c r="B29" s="1412" t="s">
        <v>970</v>
      </c>
      <c r="C29" s="1416" t="s">
        <v>1702</v>
      </c>
      <c r="D29" s="1456">
        <v>41114</v>
      </c>
      <c r="E29" s="1414">
        <v>2.2831000000000001</v>
      </c>
      <c r="F29" s="1452">
        <v>0.4695358</v>
      </c>
      <c r="G29" s="1452">
        <v>0.4695358</v>
      </c>
      <c r="H29" s="1452">
        <f t="shared" si="2"/>
        <v>0</v>
      </c>
      <c r="I29" s="1452">
        <v>0</v>
      </c>
      <c r="J29" s="1452">
        <v>0</v>
      </c>
      <c r="K29" s="1414"/>
      <c r="L29" s="1414"/>
      <c r="M29" s="1414">
        <f t="shared" si="3"/>
        <v>0</v>
      </c>
      <c r="N29" s="1414">
        <f t="shared" si="4"/>
        <v>0</v>
      </c>
      <c r="O29" s="1453">
        <f t="shared" si="0"/>
        <v>0</v>
      </c>
      <c r="P29" s="1328">
        <f t="shared" si="1"/>
        <v>0</v>
      </c>
    </row>
    <row r="30" spans="1:16" ht="15.5" hidden="1" customHeight="1" outlineLevel="1" thickBot="1" x14ac:dyDescent="0.3">
      <c r="A30" s="1416">
        <v>3.6</v>
      </c>
      <c r="B30" s="1412" t="s">
        <v>972</v>
      </c>
      <c r="C30" s="1416" t="s">
        <v>1702</v>
      </c>
      <c r="D30" s="1456">
        <v>41114</v>
      </c>
      <c r="E30" s="1414">
        <v>2.5038</v>
      </c>
      <c r="F30" s="1452">
        <v>0</v>
      </c>
      <c r="G30" s="1452">
        <v>0</v>
      </c>
      <c r="H30" s="1452">
        <f t="shared" si="2"/>
        <v>0</v>
      </c>
      <c r="I30" s="1452">
        <v>0</v>
      </c>
      <c r="J30" s="1452">
        <v>0</v>
      </c>
      <c r="K30" s="1414"/>
      <c r="L30" s="1414"/>
      <c r="M30" s="1414">
        <f t="shared" si="3"/>
        <v>0</v>
      </c>
      <c r="N30" s="1414">
        <f t="shared" si="4"/>
        <v>0</v>
      </c>
      <c r="O30" s="1453">
        <f t="shared" si="0"/>
        <v>0</v>
      </c>
      <c r="P30" s="1328">
        <f t="shared" si="1"/>
        <v>0</v>
      </c>
    </row>
    <row r="31" spans="1:16" ht="15.5" hidden="1" customHeight="1" outlineLevel="1" thickBot="1" x14ac:dyDescent="0.3">
      <c r="A31" s="1416">
        <v>3.7</v>
      </c>
      <c r="B31" s="1412" t="s">
        <v>973</v>
      </c>
      <c r="C31" s="1416" t="s">
        <v>1702</v>
      </c>
      <c r="D31" s="1456">
        <v>41114</v>
      </c>
      <c r="E31" s="1414">
        <v>9.7000000000000003E-2</v>
      </c>
      <c r="F31" s="1452">
        <v>0</v>
      </c>
      <c r="G31" s="1452">
        <v>0</v>
      </c>
      <c r="H31" s="1452">
        <f t="shared" si="2"/>
        <v>0</v>
      </c>
      <c r="I31" s="1452">
        <v>0</v>
      </c>
      <c r="J31" s="1452">
        <v>0</v>
      </c>
      <c r="K31" s="1414"/>
      <c r="L31" s="1414"/>
      <c r="M31" s="1414">
        <f t="shared" si="3"/>
        <v>0</v>
      </c>
      <c r="N31" s="1414">
        <f t="shared" si="4"/>
        <v>0</v>
      </c>
      <c r="O31" s="1453">
        <f t="shared" si="0"/>
        <v>0</v>
      </c>
      <c r="P31" s="1328">
        <f t="shared" si="1"/>
        <v>0</v>
      </c>
    </row>
    <row r="32" spans="1:16" ht="31" hidden="1" customHeight="1" outlineLevel="1" thickBot="1" x14ac:dyDescent="0.3">
      <c r="A32" s="1416">
        <v>3.8</v>
      </c>
      <c r="B32" s="1412" t="s">
        <v>974</v>
      </c>
      <c r="C32" s="1416" t="s">
        <v>1702</v>
      </c>
      <c r="D32" s="1456">
        <v>41114</v>
      </c>
      <c r="E32" s="1414">
        <v>7.6508000000000003</v>
      </c>
      <c r="F32" s="1452">
        <v>0</v>
      </c>
      <c r="G32" s="1452">
        <v>0</v>
      </c>
      <c r="H32" s="1452">
        <f t="shared" si="2"/>
        <v>0</v>
      </c>
      <c r="I32" s="1452">
        <v>0</v>
      </c>
      <c r="J32" s="1452">
        <v>0</v>
      </c>
      <c r="K32" s="1414"/>
      <c r="L32" s="1414"/>
      <c r="M32" s="1414">
        <f t="shared" si="3"/>
        <v>0</v>
      </c>
      <c r="N32" s="1414">
        <f t="shared" si="4"/>
        <v>0</v>
      </c>
      <c r="O32" s="1453">
        <f t="shared" si="0"/>
        <v>0</v>
      </c>
      <c r="P32" s="1328">
        <f t="shared" si="1"/>
        <v>0</v>
      </c>
    </row>
    <row r="33" spans="1:16" ht="77.5" hidden="1" customHeight="1" outlineLevel="1" thickBot="1" x14ac:dyDescent="0.3">
      <c r="A33" s="1416">
        <v>3.9</v>
      </c>
      <c r="B33" s="1412" t="s">
        <v>975</v>
      </c>
      <c r="C33" s="1416" t="s">
        <v>1702</v>
      </c>
      <c r="D33" s="1456">
        <v>41114</v>
      </c>
      <c r="E33" s="1414">
        <v>0.29680000000000001</v>
      </c>
      <c r="F33" s="1452">
        <v>0</v>
      </c>
      <c r="G33" s="1452">
        <v>0</v>
      </c>
      <c r="H33" s="1452">
        <f t="shared" si="2"/>
        <v>0</v>
      </c>
      <c r="I33" s="1452">
        <v>0</v>
      </c>
      <c r="J33" s="1452">
        <v>0</v>
      </c>
      <c r="K33" s="1414"/>
      <c r="L33" s="1414"/>
      <c r="M33" s="1414">
        <f t="shared" si="3"/>
        <v>0</v>
      </c>
      <c r="N33" s="1414">
        <f t="shared" si="4"/>
        <v>0</v>
      </c>
      <c r="O33" s="1453">
        <f t="shared" si="0"/>
        <v>0</v>
      </c>
      <c r="P33" s="1328">
        <f t="shared" si="1"/>
        <v>0</v>
      </c>
    </row>
    <row r="34" spans="1:16" ht="15.5" hidden="1" customHeight="1" outlineLevel="1" thickBot="1" x14ac:dyDescent="0.3">
      <c r="A34" s="1418">
        <v>3.1</v>
      </c>
      <c r="B34" s="1412" t="s">
        <v>976</v>
      </c>
      <c r="C34" s="1416" t="s">
        <v>1702</v>
      </c>
      <c r="D34" s="1456">
        <v>41114</v>
      </c>
      <c r="E34" s="1414">
        <v>0.9607</v>
      </c>
      <c r="F34" s="1452">
        <v>0.9607</v>
      </c>
      <c r="G34" s="1452">
        <v>0.9607</v>
      </c>
      <c r="H34" s="1452">
        <f t="shared" si="2"/>
        <v>0</v>
      </c>
      <c r="I34" s="1452">
        <v>0</v>
      </c>
      <c r="J34" s="1452">
        <v>0</v>
      </c>
      <c r="K34" s="1414"/>
      <c r="L34" s="1414"/>
      <c r="M34" s="1414">
        <f t="shared" si="3"/>
        <v>0</v>
      </c>
      <c r="N34" s="1414">
        <f t="shared" si="4"/>
        <v>0</v>
      </c>
      <c r="O34" s="1453">
        <f t="shared" si="0"/>
        <v>0</v>
      </c>
      <c r="P34" s="1328">
        <f t="shared" si="1"/>
        <v>0</v>
      </c>
    </row>
    <row r="35" spans="1:16" ht="31" hidden="1" customHeight="1" outlineLevel="1" thickBot="1" x14ac:dyDescent="0.3">
      <c r="A35" s="1416">
        <v>3.11</v>
      </c>
      <c r="B35" s="1412" t="s">
        <v>978</v>
      </c>
      <c r="C35" s="1416" t="s">
        <v>1702</v>
      </c>
      <c r="D35" s="1456">
        <v>41114</v>
      </c>
      <c r="E35" s="1414">
        <v>0.63617000000000001</v>
      </c>
      <c r="F35" s="1452">
        <v>0</v>
      </c>
      <c r="G35" s="1452">
        <v>0</v>
      </c>
      <c r="H35" s="1452">
        <f t="shared" si="2"/>
        <v>0</v>
      </c>
      <c r="I35" s="1452">
        <v>0</v>
      </c>
      <c r="J35" s="1452">
        <v>0</v>
      </c>
      <c r="K35" s="1414"/>
      <c r="L35" s="1414"/>
      <c r="M35" s="1414">
        <f t="shared" si="3"/>
        <v>0</v>
      </c>
      <c r="N35" s="1414">
        <f t="shared" si="4"/>
        <v>0</v>
      </c>
      <c r="O35" s="1453">
        <f t="shared" si="0"/>
        <v>0</v>
      </c>
      <c r="P35" s="1328">
        <f t="shared" si="1"/>
        <v>0</v>
      </c>
    </row>
    <row r="36" spans="1:16" ht="15.5" hidden="1" customHeight="1" outlineLevel="1" thickBot="1" x14ac:dyDescent="0.3">
      <c r="A36" s="1416">
        <v>3.12</v>
      </c>
      <c r="B36" s="1412" t="s">
        <v>979</v>
      </c>
      <c r="C36" s="1416" t="s">
        <v>1702</v>
      </c>
      <c r="D36" s="1456">
        <v>41114</v>
      </c>
      <c r="E36" s="1414">
        <v>0.44012000000000001</v>
      </c>
      <c r="F36" s="1452">
        <v>0.19</v>
      </c>
      <c r="G36" s="1452">
        <v>0.19</v>
      </c>
      <c r="H36" s="1452">
        <f t="shared" si="2"/>
        <v>0</v>
      </c>
      <c r="I36" s="1452">
        <v>0</v>
      </c>
      <c r="J36" s="1452">
        <v>0</v>
      </c>
      <c r="K36" s="1414"/>
      <c r="L36" s="1414"/>
      <c r="M36" s="1414">
        <f t="shared" si="3"/>
        <v>0</v>
      </c>
      <c r="N36" s="1414">
        <f t="shared" si="4"/>
        <v>0</v>
      </c>
      <c r="O36" s="1453">
        <f t="shared" si="0"/>
        <v>0</v>
      </c>
      <c r="P36" s="1328">
        <f t="shared" si="1"/>
        <v>0</v>
      </c>
    </row>
    <row r="37" spans="1:16" ht="15.5" hidden="1" customHeight="1" outlineLevel="1" thickBot="1" x14ac:dyDescent="0.3">
      <c r="A37" s="1416">
        <v>3.13</v>
      </c>
      <c r="B37" s="1412" t="s">
        <v>981</v>
      </c>
      <c r="C37" s="1416" t="s">
        <v>1702</v>
      </c>
      <c r="D37" s="1456">
        <v>41114</v>
      </c>
      <c r="E37" s="1414">
        <v>0.53213999999999995</v>
      </c>
      <c r="F37" s="1452">
        <v>0</v>
      </c>
      <c r="G37" s="1452">
        <v>0</v>
      </c>
      <c r="H37" s="1452">
        <f t="shared" si="2"/>
        <v>0</v>
      </c>
      <c r="I37" s="1452">
        <v>0</v>
      </c>
      <c r="J37" s="1452">
        <v>0</v>
      </c>
      <c r="K37" s="1414"/>
      <c r="L37" s="1414"/>
      <c r="M37" s="1414">
        <f t="shared" si="3"/>
        <v>0</v>
      </c>
      <c r="N37" s="1414">
        <f t="shared" si="4"/>
        <v>0</v>
      </c>
      <c r="O37" s="1453">
        <f t="shared" si="0"/>
        <v>0</v>
      </c>
      <c r="P37" s="1328">
        <f t="shared" si="1"/>
        <v>0</v>
      </c>
    </row>
    <row r="38" spans="1:16" ht="15.5" hidden="1" customHeight="1" outlineLevel="1" thickBot="1" x14ac:dyDescent="0.3">
      <c r="A38" s="1406"/>
      <c r="B38" s="1412" t="s">
        <v>414</v>
      </c>
      <c r="C38" s="1416" t="s">
        <v>1702</v>
      </c>
      <c r="D38" s="1456">
        <v>41114</v>
      </c>
      <c r="E38" s="1414">
        <v>5.27</v>
      </c>
      <c r="F38" s="1452">
        <v>0</v>
      </c>
      <c r="G38" s="1452">
        <v>0</v>
      </c>
      <c r="H38" s="1452">
        <f t="shared" si="2"/>
        <v>0</v>
      </c>
      <c r="I38" s="1452">
        <v>0</v>
      </c>
      <c r="J38" s="1452">
        <v>0</v>
      </c>
      <c r="K38" s="1414"/>
      <c r="L38" s="1414"/>
      <c r="M38" s="1414">
        <f t="shared" si="3"/>
        <v>0</v>
      </c>
      <c r="N38" s="1414">
        <f t="shared" si="4"/>
        <v>0</v>
      </c>
      <c r="O38" s="1453">
        <f t="shared" si="0"/>
        <v>0</v>
      </c>
      <c r="P38" s="1328">
        <f t="shared" si="1"/>
        <v>0</v>
      </c>
    </row>
    <row r="39" spans="1:16" ht="31" hidden="1" customHeight="1" outlineLevel="1" thickBot="1" x14ac:dyDescent="0.3">
      <c r="A39" s="1406">
        <v>4</v>
      </c>
      <c r="B39" s="1407" t="s">
        <v>982</v>
      </c>
      <c r="C39" s="1406" t="s">
        <v>983</v>
      </c>
      <c r="D39" s="1451">
        <v>41281</v>
      </c>
      <c r="E39" s="1452">
        <v>20.108999999999998</v>
      </c>
      <c r="F39" s="1452">
        <v>0</v>
      </c>
      <c r="G39" s="1452">
        <v>0</v>
      </c>
      <c r="H39" s="1452">
        <f t="shared" si="2"/>
        <v>0</v>
      </c>
      <c r="I39" s="1452">
        <v>0</v>
      </c>
      <c r="J39" s="1452">
        <v>0</v>
      </c>
      <c r="K39" s="1452"/>
      <c r="L39" s="1452"/>
      <c r="M39" s="1452">
        <f t="shared" si="3"/>
        <v>0</v>
      </c>
      <c r="N39" s="1452">
        <f t="shared" si="4"/>
        <v>0</v>
      </c>
      <c r="O39" s="1453">
        <f t="shared" si="0"/>
        <v>0</v>
      </c>
      <c r="P39" s="1328">
        <f t="shared" si="1"/>
        <v>0</v>
      </c>
    </row>
    <row r="40" spans="1:16" ht="46.5" hidden="1" customHeight="1" outlineLevel="1" thickBot="1" x14ac:dyDescent="0.3">
      <c r="A40" s="1416">
        <v>4.0999999999999996</v>
      </c>
      <c r="B40" s="1412" t="s">
        <v>984</v>
      </c>
      <c r="C40" s="1416" t="s">
        <v>983</v>
      </c>
      <c r="D40" s="1456">
        <v>41281</v>
      </c>
      <c r="E40" s="1414">
        <v>17.47</v>
      </c>
      <c r="F40" s="1452">
        <v>8.655683800000002</v>
      </c>
      <c r="G40" s="1452">
        <v>8.655683800000002</v>
      </c>
      <c r="H40" s="1452">
        <f t="shared" si="2"/>
        <v>0</v>
      </c>
      <c r="I40" s="1452">
        <v>0</v>
      </c>
      <c r="J40" s="1452">
        <v>0</v>
      </c>
      <c r="K40" s="1414"/>
      <c r="L40" s="1414"/>
      <c r="M40" s="1414">
        <f t="shared" si="3"/>
        <v>0</v>
      </c>
      <c r="N40" s="1414">
        <f t="shared" si="4"/>
        <v>0</v>
      </c>
      <c r="O40" s="1453">
        <f t="shared" si="0"/>
        <v>0</v>
      </c>
      <c r="P40" s="1328">
        <f t="shared" si="1"/>
        <v>0</v>
      </c>
    </row>
    <row r="41" spans="1:16" ht="31" hidden="1" customHeight="1" outlineLevel="1" thickBot="1" x14ac:dyDescent="0.3">
      <c r="A41" s="1416">
        <v>4.2</v>
      </c>
      <c r="B41" s="1412" t="s">
        <v>987</v>
      </c>
      <c r="C41" s="1416" t="s">
        <v>983</v>
      </c>
      <c r="D41" s="1456">
        <v>41281</v>
      </c>
      <c r="E41" s="1414">
        <v>1.0289999999999999</v>
      </c>
      <c r="F41" s="1452">
        <v>0.30159950000000002</v>
      </c>
      <c r="G41" s="1452">
        <v>0.30159950000000002</v>
      </c>
      <c r="H41" s="1452">
        <f t="shared" si="2"/>
        <v>0</v>
      </c>
      <c r="I41" s="1452">
        <v>0</v>
      </c>
      <c r="J41" s="1452">
        <v>0</v>
      </c>
      <c r="K41" s="1414"/>
      <c r="L41" s="1414"/>
      <c r="M41" s="1414">
        <f t="shared" si="3"/>
        <v>0</v>
      </c>
      <c r="N41" s="1414">
        <f t="shared" si="4"/>
        <v>0</v>
      </c>
      <c r="O41" s="1453">
        <f t="shared" si="0"/>
        <v>0</v>
      </c>
      <c r="P41" s="1328">
        <f t="shared" si="1"/>
        <v>0</v>
      </c>
    </row>
    <row r="42" spans="1:16" ht="15.5" hidden="1" customHeight="1" outlineLevel="1" thickBot="1" x14ac:dyDescent="0.3">
      <c r="A42" s="1406"/>
      <c r="B42" s="1412" t="s">
        <v>414</v>
      </c>
      <c r="C42" s="1416" t="s">
        <v>983</v>
      </c>
      <c r="D42" s="1456">
        <v>41281</v>
      </c>
      <c r="E42" s="1414">
        <v>1.61</v>
      </c>
      <c r="F42" s="1452">
        <v>0</v>
      </c>
      <c r="G42" s="1452">
        <v>0</v>
      </c>
      <c r="H42" s="1452">
        <f t="shared" si="2"/>
        <v>0</v>
      </c>
      <c r="I42" s="1452">
        <v>0</v>
      </c>
      <c r="J42" s="1452">
        <v>0</v>
      </c>
      <c r="K42" s="1414"/>
      <c r="L42" s="1414"/>
      <c r="M42" s="1414">
        <f t="shared" si="3"/>
        <v>0</v>
      </c>
      <c r="N42" s="1414">
        <f t="shared" si="4"/>
        <v>0</v>
      </c>
      <c r="O42" s="1453">
        <f t="shared" si="0"/>
        <v>0</v>
      </c>
      <c r="P42" s="1328">
        <f t="shared" si="1"/>
        <v>0</v>
      </c>
    </row>
    <row r="43" spans="1:16" ht="31" hidden="1" customHeight="1" outlineLevel="1" thickBot="1" x14ac:dyDescent="0.3">
      <c r="A43" s="1406">
        <v>5</v>
      </c>
      <c r="B43" s="1407" t="s">
        <v>989</v>
      </c>
      <c r="C43" s="1406" t="s">
        <v>990</v>
      </c>
      <c r="D43" s="1451">
        <v>41928</v>
      </c>
      <c r="E43" s="1452">
        <v>13.692</v>
      </c>
      <c r="F43" s="1452">
        <v>0</v>
      </c>
      <c r="G43" s="1452">
        <v>0</v>
      </c>
      <c r="H43" s="1452">
        <f t="shared" si="2"/>
        <v>0</v>
      </c>
      <c r="I43" s="1452">
        <v>0</v>
      </c>
      <c r="J43" s="1452">
        <v>0</v>
      </c>
      <c r="K43" s="1452"/>
      <c r="L43" s="1452"/>
      <c r="M43" s="1452">
        <f t="shared" si="3"/>
        <v>0</v>
      </c>
      <c r="N43" s="1452">
        <f t="shared" si="4"/>
        <v>0</v>
      </c>
      <c r="O43" s="1453">
        <f t="shared" si="0"/>
        <v>0</v>
      </c>
      <c r="P43" s="1328">
        <f t="shared" si="1"/>
        <v>0</v>
      </c>
    </row>
    <row r="44" spans="1:16" ht="31" hidden="1" customHeight="1" outlineLevel="1" thickBot="1" x14ac:dyDescent="0.3">
      <c r="A44" s="1416">
        <v>5.0999999999999996</v>
      </c>
      <c r="B44" s="1419" t="s">
        <v>991</v>
      </c>
      <c r="C44" s="1416" t="s">
        <v>990</v>
      </c>
      <c r="D44" s="1456">
        <v>41928</v>
      </c>
      <c r="E44" s="1414">
        <v>1.1040000000000001</v>
      </c>
      <c r="F44" s="1452">
        <v>0.54</v>
      </c>
      <c r="G44" s="1452">
        <v>0.54</v>
      </c>
      <c r="H44" s="1452">
        <f t="shared" si="2"/>
        <v>0</v>
      </c>
      <c r="I44" s="1452">
        <v>0</v>
      </c>
      <c r="J44" s="1452">
        <v>0</v>
      </c>
      <c r="K44" s="1414"/>
      <c r="L44" s="1414"/>
      <c r="M44" s="1414">
        <f t="shared" si="3"/>
        <v>0</v>
      </c>
      <c r="N44" s="1414">
        <f t="shared" si="4"/>
        <v>0</v>
      </c>
      <c r="O44" s="1453">
        <f t="shared" si="0"/>
        <v>0</v>
      </c>
      <c r="P44" s="1328">
        <f t="shared" si="1"/>
        <v>0</v>
      </c>
    </row>
    <row r="45" spans="1:16" ht="62" hidden="1" customHeight="1" outlineLevel="1" thickBot="1" x14ac:dyDescent="0.3">
      <c r="A45" s="1416">
        <v>5.2</v>
      </c>
      <c r="B45" s="1419" t="s">
        <v>993</v>
      </c>
      <c r="C45" s="1416" t="s">
        <v>990</v>
      </c>
      <c r="D45" s="1456">
        <v>41928</v>
      </c>
      <c r="E45" s="1414">
        <v>5.4770000000000003</v>
      </c>
      <c r="F45" s="1452">
        <v>5.4649043000000006</v>
      </c>
      <c r="G45" s="1452">
        <v>5.4649043000000006</v>
      </c>
      <c r="H45" s="1452">
        <f t="shared" si="2"/>
        <v>0</v>
      </c>
      <c r="I45" s="1452">
        <v>0</v>
      </c>
      <c r="J45" s="1452">
        <v>0</v>
      </c>
      <c r="K45" s="1414"/>
      <c r="L45" s="1414"/>
      <c r="M45" s="1414">
        <f t="shared" si="3"/>
        <v>0</v>
      </c>
      <c r="N45" s="1414">
        <f t="shared" si="4"/>
        <v>0</v>
      </c>
      <c r="O45" s="1453">
        <f t="shared" si="0"/>
        <v>0</v>
      </c>
      <c r="P45" s="1328">
        <f t="shared" si="1"/>
        <v>0</v>
      </c>
    </row>
    <row r="46" spans="1:16" ht="62" hidden="1" customHeight="1" outlineLevel="1" thickBot="1" x14ac:dyDescent="0.3">
      <c r="A46" s="1416">
        <v>5.3</v>
      </c>
      <c r="B46" s="1419" t="s">
        <v>994</v>
      </c>
      <c r="C46" s="1416" t="s">
        <v>990</v>
      </c>
      <c r="D46" s="1456">
        <v>41928</v>
      </c>
      <c r="E46" s="1414">
        <v>2.7109999999999999</v>
      </c>
      <c r="F46" s="1452">
        <v>2.6624558</v>
      </c>
      <c r="G46" s="1452">
        <v>2.6624558</v>
      </c>
      <c r="H46" s="1452">
        <f t="shared" si="2"/>
        <v>0</v>
      </c>
      <c r="I46" s="1452">
        <v>0</v>
      </c>
      <c r="J46" s="1452">
        <v>0</v>
      </c>
      <c r="K46" s="1414"/>
      <c r="L46" s="1414"/>
      <c r="M46" s="1414">
        <f t="shared" si="3"/>
        <v>0</v>
      </c>
      <c r="N46" s="1414">
        <f t="shared" si="4"/>
        <v>0</v>
      </c>
      <c r="O46" s="1453">
        <f t="shared" si="0"/>
        <v>0</v>
      </c>
      <c r="P46" s="1328">
        <f t="shared" si="1"/>
        <v>0</v>
      </c>
    </row>
    <row r="47" spans="1:16" ht="62" hidden="1" customHeight="1" outlineLevel="1" thickBot="1" x14ac:dyDescent="0.3">
      <c r="A47" s="1416">
        <v>5.4</v>
      </c>
      <c r="B47" s="1419" t="s">
        <v>996</v>
      </c>
      <c r="C47" s="1416" t="s">
        <v>990</v>
      </c>
      <c r="D47" s="1456">
        <v>41928</v>
      </c>
      <c r="E47" s="1414">
        <v>2.7109999999999999</v>
      </c>
      <c r="F47" s="1452">
        <v>2.3531</v>
      </c>
      <c r="G47" s="1452">
        <v>2.3531</v>
      </c>
      <c r="H47" s="1452">
        <f t="shared" si="2"/>
        <v>0</v>
      </c>
      <c r="I47" s="1452">
        <v>0</v>
      </c>
      <c r="J47" s="1452">
        <v>0</v>
      </c>
      <c r="K47" s="1414"/>
      <c r="L47" s="1414"/>
      <c r="M47" s="1414">
        <f t="shared" si="3"/>
        <v>0</v>
      </c>
      <c r="N47" s="1414">
        <f t="shared" si="4"/>
        <v>0</v>
      </c>
      <c r="O47" s="1453">
        <f t="shared" si="0"/>
        <v>0</v>
      </c>
      <c r="P47" s="1328">
        <f t="shared" si="1"/>
        <v>0</v>
      </c>
    </row>
    <row r="48" spans="1:16" ht="31" hidden="1" customHeight="1" outlineLevel="1" thickBot="1" x14ac:dyDescent="0.3">
      <c r="A48" s="1406"/>
      <c r="B48" s="1419" t="s">
        <v>414</v>
      </c>
      <c r="C48" s="1416" t="s">
        <v>990</v>
      </c>
      <c r="D48" s="1456">
        <v>41928</v>
      </c>
      <c r="E48" s="1414">
        <v>1.6890000000000001</v>
      </c>
      <c r="F48" s="1452">
        <v>0</v>
      </c>
      <c r="G48" s="1452">
        <v>0</v>
      </c>
      <c r="H48" s="1452">
        <f t="shared" si="2"/>
        <v>0</v>
      </c>
      <c r="I48" s="1452">
        <v>0</v>
      </c>
      <c r="J48" s="1452">
        <v>0</v>
      </c>
      <c r="K48" s="1414"/>
      <c r="L48" s="1414"/>
      <c r="M48" s="1414">
        <f t="shared" si="3"/>
        <v>0</v>
      </c>
      <c r="N48" s="1414">
        <f t="shared" si="4"/>
        <v>0</v>
      </c>
      <c r="O48" s="1453">
        <f t="shared" si="0"/>
        <v>0</v>
      </c>
      <c r="P48" s="1328">
        <f t="shared" si="1"/>
        <v>0</v>
      </c>
    </row>
    <row r="49" spans="1:16" ht="46.5" hidden="1" customHeight="1" outlineLevel="1" thickBot="1" x14ac:dyDescent="0.3">
      <c r="A49" s="1406">
        <v>6</v>
      </c>
      <c r="B49" s="1407" t="s">
        <v>998</v>
      </c>
      <c r="C49" s="1406" t="s">
        <v>999</v>
      </c>
      <c r="D49" s="1451">
        <v>41792</v>
      </c>
      <c r="E49" s="1452">
        <v>17.369999999999997</v>
      </c>
      <c r="F49" s="1452">
        <v>0</v>
      </c>
      <c r="G49" s="1452">
        <v>0</v>
      </c>
      <c r="H49" s="1452">
        <f t="shared" si="2"/>
        <v>0</v>
      </c>
      <c r="I49" s="1452">
        <v>0</v>
      </c>
      <c r="J49" s="1452">
        <v>0</v>
      </c>
      <c r="K49" s="1452"/>
      <c r="L49" s="1452"/>
      <c r="M49" s="1452">
        <f t="shared" si="3"/>
        <v>0</v>
      </c>
      <c r="N49" s="1452">
        <f t="shared" si="4"/>
        <v>0</v>
      </c>
      <c r="O49" s="1453">
        <f t="shared" si="0"/>
        <v>0</v>
      </c>
      <c r="P49" s="1328">
        <f t="shared" si="1"/>
        <v>0</v>
      </c>
    </row>
    <row r="50" spans="1:16" ht="31" hidden="1" customHeight="1" outlineLevel="1" thickBot="1" x14ac:dyDescent="0.3">
      <c r="A50" s="1411">
        <v>6.1</v>
      </c>
      <c r="B50" s="1419" t="s">
        <v>1000</v>
      </c>
      <c r="C50" s="1411" t="s">
        <v>999</v>
      </c>
      <c r="D50" s="1454">
        <v>41792</v>
      </c>
      <c r="E50" s="1414">
        <v>2.62</v>
      </c>
      <c r="F50" s="1452">
        <v>1.3984000000000001</v>
      </c>
      <c r="G50" s="1452">
        <v>1.3984000000000001</v>
      </c>
      <c r="H50" s="1452">
        <f t="shared" si="2"/>
        <v>0</v>
      </c>
      <c r="I50" s="1452">
        <v>0</v>
      </c>
      <c r="J50" s="1452">
        <v>0</v>
      </c>
      <c r="K50" s="1414"/>
      <c r="L50" s="1414"/>
      <c r="M50" s="1414">
        <f t="shared" si="3"/>
        <v>0</v>
      </c>
      <c r="N50" s="1414">
        <f t="shared" si="4"/>
        <v>0</v>
      </c>
      <c r="O50" s="1453">
        <f t="shared" si="0"/>
        <v>0</v>
      </c>
      <c r="P50" s="1328">
        <f t="shared" si="1"/>
        <v>0</v>
      </c>
    </row>
    <row r="51" spans="1:16" ht="31" hidden="1" customHeight="1" outlineLevel="1" thickBot="1" x14ac:dyDescent="0.3">
      <c r="A51" s="1411">
        <v>6.2</v>
      </c>
      <c r="B51" s="1419" t="s">
        <v>1003</v>
      </c>
      <c r="C51" s="1411" t="s">
        <v>999</v>
      </c>
      <c r="D51" s="1454">
        <v>41792</v>
      </c>
      <c r="E51" s="1414">
        <v>13.404999999999999</v>
      </c>
      <c r="F51" s="1452">
        <v>1.2086276</v>
      </c>
      <c r="G51" s="1452">
        <v>1.2086276</v>
      </c>
      <c r="H51" s="1452">
        <f t="shared" si="2"/>
        <v>0</v>
      </c>
      <c r="I51" s="1452">
        <v>0</v>
      </c>
      <c r="J51" s="1452">
        <v>0</v>
      </c>
      <c r="K51" s="1414"/>
      <c r="L51" s="1414"/>
      <c r="M51" s="1414">
        <f t="shared" si="3"/>
        <v>0</v>
      </c>
      <c r="N51" s="1414">
        <f t="shared" si="4"/>
        <v>0</v>
      </c>
      <c r="O51" s="1453">
        <f t="shared" si="0"/>
        <v>0</v>
      </c>
      <c r="P51" s="1328">
        <f t="shared" si="1"/>
        <v>0</v>
      </c>
    </row>
    <row r="52" spans="1:16" ht="31" hidden="1" customHeight="1" outlineLevel="1" thickBot="1" x14ac:dyDescent="0.3">
      <c r="A52" s="1411"/>
      <c r="B52" s="1419" t="s">
        <v>414</v>
      </c>
      <c r="C52" s="1411" t="s">
        <v>999</v>
      </c>
      <c r="D52" s="1454">
        <v>41792</v>
      </c>
      <c r="E52" s="1414">
        <v>1.345</v>
      </c>
      <c r="F52" s="1452">
        <v>0</v>
      </c>
      <c r="G52" s="1452">
        <v>0</v>
      </c>
      <c r="H52" s="1452">
        <f t="shared" si="2"/>
        <v>0</v>
      </c>
      <c r="I52" s="1452">
        <v>0</v>
      </c>
      <c r="J52" s="1452">
        <v>0</v>
      </c>
      <c r="K52" s="1414"/>
      <c r="L52" s="1414"/>
      <c r="M52" s="1414">
        <f t="shared" si="3"/>
        <v>0</v>
      </c>
      <c r="N52" s="1414">
        <f t="shared" si="4"/>
        <v>0</v>
      </c>
      <c r="O52" s="1453">
        <f t="shared" si="0"/>
        <v>0</v>
      </c>
      <c r="P52" s="1328">
        <f t="shared" si="1"/>
        <v>0</v>
      </c>
    </row>
    <row r="53" spans="1:16" ht="31" hidden="1" customHeight="1" outlineLevel="1" thickBot="1" x14ac:dyDescent="0.3">
      <c r="A53" s="1406">
        <v>8</v>
      </c>
      <c r="B53" s="1407" t="s">
        <v>1006</v>
      </c>
      <c r="C53" s="1406" t="s">
        <v>1007</v>
      </c>
      <c r="D53" s="1451">
        <v>42768</v>
      </c>
      <c r="E53" s="1452">
        <v>2.0930578512396689</v>
      </c>
      <c r="F53" s="1452">
        <v>0</v>
      </c>
      <c r="G53" s="1452">
        <v>0</v>
      </c>
      <c r="H53" s="1452">
        <f t="shared" si="2"/>
        <v>0</v>
      </c>
      <c r="I53" s="1452">
        <v>0</v>
      </c>
      <c r="J53" s="1452">
        <v>0</v>
      </c>
      <c r="K53" s="1452"/>
      <c r="L53" s="1452"/>
      <c r="M53" s="1452">
        <f t="shared" si="3"/>
        <v>0</v>
      </c>
      <c r="N53" s="1452">
        <f t="shared" si="4"/>
        <v>0</v>
      </c>
      <c r="O53" s="1453">
        <f t="shared" si="0"/>
        <v>0</v>
      </c>
      <c r="P53" s="1328">
        <f t="shared" si="1"/>
        <v>0</v>
      </c>
    </row>
    <row r="54" spans="1:16" ht="15.5" hidden="1" customHeight="1" outlineLevel="1" thickBot="1" x14ac:dyDescent="0.3">
      <c r="A54" s="1411">
        <v>8.1</v>
      </c>
      <c r="B54" s="1419" t="s">
        <v>1008</v>
      </c>
      <c r="C54" s="1411" t="s">
        <v>1007</v>
      </c>
      <c r="D54" s="1454">
        <v>42768</v>
      </c>
      <c r="E54" s="1414">
        <v>1.0395867768595042</v>
      </c>
      <c r="F54" s="1452">
        <v>1.0134768000000001</v>
      </c>
      <c r="G54" s="1452">
        <v>1.0134768000000001</v>
      </c>
      <c r="H54" s="1452">
        <f t="shared" si="2"/>
        <v>0</v>
      </c>
      <c r="I54" s="1452">
        <v>0</v>
      </c>
      <c r="J54" s="1452">
        <v>0</v>
      </c>
      <c r="K54" s="1414"/>
      <c r="L54" s="1414"/>
      <c r="M54" s="1414">
        <f t="shared" si="3"/>
        <v>0</v>
      </c>
      <c r="N54" s="1414">
        <f t="shared" si="4"/>
        <v>0</v>
      </c>
      <c r="O54" s="1453">
        <f t="shared" si="0"/>
        <v>0</v>
      </c>
      <c r="P54" s="1328">
        <f t="shared" si="1"/>
        <v>0</v>
      </c>
    </row>
    <row r="55" spans="1:16" ht="15.5" hidden="1" customHeight="1" outlineLevel="1" thickBot="1" x14ac:dyDescent="0.3">
      <c r="A55" s="1411">
        <v>8.1999999999999993</v>
      </c>
      <c r="B55" s="1419" t="s">
        <v>1012</v>
      </c>
      <c r="C55" s="1411" t="s">
        <v>1007</v>
      </c>
      <c r="D55" s="1454">
        <v>42768</v>
      </c>
      <c r="E55" s="1414">
        <v>0.5380165289256198</v>
      </c>
      <c r="F55" s="1452">
        <v>0.72968922148760329</v>
      </c>
      <c r="G55" s="1452">
        <v>0.72968922148760329</v>
      </c>
      <c r="H55" s="1452">
        <f t="shared" si="2"/>
        <v>0</v>
      </c>
      <c r="I55" s="1452">
        <v>0</v>
      </c>
      <c r="J55" s="1452">
        <v>0</v>
      </c>
      <c r="K55" s="1414"/>
      <c r="L55" s="1414"/>
      <c r="M55" s="1414">
        <f t="shared" si="3"/>
        <v>0</v>
      </c>
      <c r="N55" s="1414">
        <f t="shared" si="4"/>
        <v>0</v>
      </c>
      <c r="O55" s="1453">
        <f t="shared" si="0"/>
        <v>0</v>
      </c>
      <c r="P55" s="1328">
        <f t="shared" si="1"/>
        <v>0</v>
      </c>
    </row>
    <row r="56" spans="1:16" ht="15.5" hidden="1" customHeight="1" outlineLevel="1" thickBot="1" x14ac:dyDescent="0.3">
      <c r="A56" s="1411">
        <v>8.3000000000000007</v>
      </c>
      <c r="B56" s="1419" t="s">
        <v>1015</v>
      </c>
      <c r="C56" s="1411" t="s">
        <v>1007</v>
      </c>
      <c r="D56" s="1454">
        <v>42768</v>
      </c>
      <c r="E56" s="1414">
        <v>9.0247933884297526E-2</v>
      </c>
      <c r="F56" s="1452">
        <v>7.9869421487603301E-2</v>
      </c>
      <c r="G56" s="1452">
        <v>7.9869421487603301E-2</v>
      </c>
      <c r="H56" s="1452">
        <f t="shared" si="2"/>
        <v>0</v>
      </c>
      <c r="I56" s="1452">
        <v>0</v>
      </c>
      <c r="J56" s="1452">
        <v>0</v>
      </c>
      <c r="K56" s="1414"/>
      <c r="L56" s="1414"/>
      <c r="M56" s="1414">
        <f t="shared" si="3"/>
        <v>0</v>
      </c>
      <c r="N56" s="1414">
        <f t="shared" si="4"/>
        <v>0</v>
      </c>
      <c r="O56" s="1453">
        <f t="shared" si="0"/>
        <v>0</v>
      </c>
      <c r="P56" s="1328">
        <f t="shared" si="1"/>
        <v>0</v>
      </c>
    </row>
    <row r="57" spans="1:16" ht="15.5" hidden="1" customHeight="1" outlineLevel="1" thickBot="1" x14ac:dyDescent="0.3">
      <c r="A57" s="1411">
        <v>8.4</v>
      </c>
      <c r="B57" s="1419" t="s">
        <v>1018</v>
      </c>
      <c r="C57" s="1411" t="s">
        <v>1007</v>
      </c>
      <c r="D57" s="1454">
        <v>42768</v>
      </c>
      <c r="E57" s="1414">
        <v>0.16661157024793388</v>
      </c>
      <c r="F57" s="1452">
        <v>0</v>
      </c>
      <c r="G57" s="1452">
        <v>0</v>
      </c>
      <c r="H57" s="1452">
        <f t="shared" si="2"/>
        <v>0</v>
      </c>
      <c r="I57" s="1452">
        <v>0</v>
      </c>
      <c r="J57" s="1452">
        <v>0</v>
      </c>
      <c r="K57" s="1414"/>
      <c r="L57" s="1414"/>
      <c r="M57" s="1414">
        <f t="shared" si="3"/>
        <v>0</v>
      </c>
      <c r="N57" s="1414">
        <f t="shared" si="4"/>
        <v>0</v>
      </c>
      <c r="O57" s="1453">
        <f t="shared" si="0"/>
        <v>0</v>
      </c>
      <c r="P57" s="1328">
        <f t="shared" si="1"/>
        <v>0</v>
      </c>
    </row>
    <row r="58" spans="1:16" ht="15.5" hidden="1" customHeight="1" outlineLevel="1" thickBot="1" x14ac:dyDescent="0.3">
      <c r="A58" s="1411">
        <v>8.5</v>
      </c>
      <c r="B58" s="1419" t="s">
        <v>1019</v>
      </c>
      <c r="C58" s="1411" t="s">
        <v>1007</v>
      </c>
      <c r="D58" s="1454">
        <v>42768</v>
      </c>
      <c r="E58" s="1414">
        <v>0.11280991735537189</v>
      </c>
      <c r="F58" s="1452">
        <v>0</v>
      </c>
      <c r="G58" s="1452">
        <v>0</v>
      </c>
      <c r="H58" s="1452">
        <f t="shared" si="2"/>
        <v>0</v>
      </c>
      <c r="I58" s="1452">
        <v>0</v>
      </c>
      <c r="J58" s="1452">
        <v>0</v>
      </c>
      <c r="K58" s="1414"/>
      <c r="L58" s="1414"/>
      <c r="M58" s="1414">
        <f t="shared" si="3"/>
        <v>0</v>
      </c>
      <c r="N58" s="1414">
        <f t="shared" si="4"/>
        <v>0</v>
      </c>
      <c r="O58" s="1453">
        <f t="shared" si="0"/>
        <v>0</v>
      </c>
      <c r="P58" s="1328">
        <f t="shared" si="1"/>
        <v>0</v>
      </c>
    </row>
    <row r="59" spans="1:16" ht="31" hidden="1" customHeight="1" outlineLevel="1" thickBot="1" x14ac:dyDescent="0.3">
      <c r="A59" s="1411">
        <v>8.6</v>
      </c>
      <c r="B59" s="1419" t="s">
        <v>1020</v>
      </c>
      <c r="C59" s="1411" t="s">
        <v>1007</v>
      </c>
      <c r="D59" s="1454">
        <v>42768</v>
      </c>
      <c r="E59" s="1414">
        <v>7.1157024793388424E-2</v>
      </c>
      <c r="F59" s="1452">
        <v>0</v>
      </c>
      <c r="G59" s="1452">
        <v>0</v>
      </c>
      <c r="H59" s="1452">
        <f t="shared" si="2"/>
        <v>0</v>
      </c>
      <c r="I59" s="1452">
        <v>0</v>
      </c>
      <c r="J59" s="1452">
        <v>0</v>
      </c>
      <c r="K59" s="1414"/>
      <c r="L59" s="1414"/>
      <c r="M59" s="1414">
        <f t="shared" si="3"/>
        <v>0</v>
      </c>
      <c r="N59" s="1414">
        <f t="shared" si="4"/>
        <v>0</v>
      </c>
      <c r="O59" s="1453">
        <f t="shared" si="0"/>
        <v>0</v>
      </c>
      <c r="P59" s="1328">
        <f t="shared" si="1"/>
        <v>0</v>
      </c>
    </row>
    <row r="60" spans="1:16" ht="15.5" hidden="1" customHeight="1" outlineLevel="1" thickBot="1" x14ac:dyDescent="0.3">
      <c r="A60" s="1411"/>
      <c r="B60" s="1419" t="s">
        <v>414</v>
      </c>
      <c r="C60" s="1411" t="s">
        <v>1007</v>
      </c>
      <c r="D60" s="1454">
        <v>42768</v>
      </c>
      <c r="E60" s="1414">
        <v>7.4628099173553716E-2</v>
      </c>
      <c r="F60" s="1452">
        <v>0</v>
      </c>
      <c r="G60" s="1452">
        <v>0</v>
      </c>
      <c r="H60" s="1452">
        <f t="shared" si="2"/>
        <v>0</v>
      </c>
      <c r="I60" s="1452">
        <v>0</v>
      </c>
      <c r="J60" s="1452">
        <v>0</v>
      </c>
      <c r="K60" s="1414"/>
      <c r="L60" s="1414"/>
      <c r="M60" s="1414">
        <f t="shared" si="3"/>
        <v>0</v>
      </c>
      <c r="N60" s="1414">
        <f t="shared" si="4"/>
        <v>0</v>
      </c>
      <c r="O60" s="1453">
        <f t="shared" si="0"/>
        <v>0</v>
      </c>
      <c r="P60" s="1328">
        <f t="shared" si="1"/>
        <v>0</v>
      </c>
    </row>
    <row r="61" spans="1:16" ht="46.5" hidden="1" customHeight="1" outlineLevel="1" thickBot="1" x14ac:dyDescent="0.3">
      <c r="A61" s="1406">
        <v>14</v>
      </c>
      <c r="B61" s="1407" t="s">
        <v>1021</v>
      </c>
      <c r="C61" s="1406" t="s">
        <v>1022</v>
      </c>
      <c r="D61" s="1451">
        <v>43760</v>
      </c>
      <c r="E61" s="1452">
        <v>13.72861</v>
      </c>
      <c r="F61" s="1452">
        <v>0</v>
      </c>
      <c r="G61" s="1452">
        <v>0</v>
      </c>
      <c r="H61" s="1452">
        <f t="shared" si="2"/>
        <v>0</v>
      </c>
      <c r="I61" s="1452">
        <v>0</v>
      </c>
      <c r="J61" s="1452">
        <v>0</v>
      </c>
      <c r="K61" s="1452"/>
      <c r="L61" s="1452"/>
      <c r="M61" s="1452">
        <f t="shared" si="3"/>
        <v>0</v>
      </c>
      <c r="N61" s="1452">
        <f t="shared" si="4"/>
        <v>0</v>
      </c>
      <c r="O61" s="1453">
        <f t="shared" si="0"/>
        <v>0</v>
      </c>
      <c r="P61" s="1328">
        <f t="shared" si="1"/>
        <v>0</v>
      </c>
    </row>
    <row r="62" spans="1:16" ht="31" hidden="1" customHeight="1" outlineLevel="1" thickBot="1" x14ac:dyDescent="0.3">
      <c r="A62" s="1411">
        <v>14.1</v>
      </c>
      <c r="B62" s="1419" t="s">
        <v>1023</v>
      </c>
      <c r="C62" s="1411" t="s">
        <v>1022</v>
      </c>
      <c r="D62" s="1454">
        <v>43760</v>
      </c>
      <c r="E62" s="1457">
        <v>5.54</v>
      </c>
      <c r="F62" s="1452">
        <v>0</v>
      </c>
      <c r="G62" s="1452">
        <v>0</v>
      </c>
      <c r="H62" s="1452">
        <f t="shared" si="2"/>
        <v>0</v>
      </c>
      <c r="I62" s="1452">
        <v>0</v>
      </c>
      <c r="J62" s="1452">
        <v>0</v>
      </c>
      <c r="K62" s="1457"/>
      <c r="L62" s="1457"/>
      <c r="M62" s="1457">
        <f t="shared" si="3"/>
        <v>0</v>
      </c>
      <c r="N62" s="1457">
        <f t="shared" si="4"/>
        <v>0</v>
      </c>
      <c r="O62" s="1453">
        <f t="shared" si="0"/>
        <v>0</v>
      </c>
      <c r="P62" s="1328">
        <f t="shared" si="1"/>
        <v>0</v>
      </c>
    </row>
    <row r="63" spans="1:16" ht="46.5" hidden="1" customHeight="1" outlineLevel="1" thickBot="1" x14ac:dyDescent="0.3">
      <c r="A63" s="1411">
        <v>14.2</v>
      </c>
      <c r="B63" s="1419" t="s">
        <v>1024</v>
      </c>
      <c r="C63" s="1411" t="s">
        <v>1022</v>
      </c>
      <c r="D63" s="1454">
        <v>43760</v>
      </c>
      <c r="E63" s="1457">
        <v>1.71861</v>
      </c>
      <c r="F63" s="1452">
        <v>1.71861</v>
      </c>
      <c r="G63" s="1452">
        <v>1.71861</v>
      </c>
      <c r="H63" s="1452">
        <f t="shared" si="2"/>
        <v>0</v>
      </c>
      <c r="I63" s="1452">
        <v>0</v>
      </c>
      <c r="J63" s="1452">
        <v>0</v>
      </c>
      <c r="K63" s="1457"/>
      <c r="L63" s="1457"/>
      <c r="M63" s="1457">
        <f t="shared" si="3"/>
        <v>0</v>
      </c>
      <c r="N63" s="1457">
        <f t="shared" si="4"/>
        <v>0</v>
      </c>
      <c r="O63" s="1453">
        <f t="shared" si="0"/>
        <v>0</v>
      </c>
      <c r="P63" s="1328">
        <f t="shared" si="1"/>
        <v>0</v>
      </c>
    </row>
    <row r="64" spans="1:16" ht="31" hidden="1" customHeight="1" outlineLevel="1" thickBot="1" x14ac:dyDescent="0.3">
      <c r="A64" s="1411">
        <v>14.3</v>
      </c>
      <c r="B64" s="1419" t="s">
        <v>1025</v>
      </c>
      <c r="C64" s="1411" t="s">
        <v>1022</v>
      </c>
      <c r="D64" s="1454">
        <v>43760</v>
      </c>
      <c r="E64" s="1457">
        <v>6.47</v>
      </c>
      <c r="F64" s="1452">
        <v>6.1082700000000001</v>
      </c>
      <c r="G64" s="1452">
        <v>6.1082700000000001</v>
      </c>
      <c r="H64" s="1452">
        <f t="shared" si="2"/>
        <v>0</v>
      </c>
      <c r="I64" s="1452">
        <v>0</v>
      </c>
      <c r="J64" s="1452">
        <v>0</v>
      </c>
      <c r="K64" s="1457"/>
      <c r="L64" s="1457"/>
      <c r="M64" s="1457">
        <f t="shared" si="3"/>
        <v>0</v>
      </c>
      <c r="N64" s="1457">
        <f t="shared" si="4"/>
        <v>0</v>
      </c>
      <c r="O64" s="1453">
        <f t="shared" si="0"/>
        <v>0</v>
      </c>
      <c r="P64" s="1328">
        <f t="shared" si="1"/>
        <v>0</v>
      </c>
    </row>
    <row r="65" spans="1:16" ht="15.5" hidden="1" customHeight="1" outlineLevel="1" thickBot="1" x14ac:dyDescent="0.3">
      <c r="A65" s="1411">
        <v>0</v>
      </c>
      <c r="B65" s="1419" t="s">
        <v>414</v>
      </c>
      <c r="C65" s="1411" t="s">
        <v>1022</v>
      </c>
      <c r="D65" s="1454">
        <v>43760</v>
      </c>
      <c r="E65" s="1457">
        <v>0</v>
      </c>
      <c r="F65" s="1452">
        <v>0</v>
      </c>
      <c r="G65" s="1452">
        <v>0</v>
      </c>
      <c r="H65" s="1452">
        <f t="shared" si="2"/>
        <v>0</v>
      </c>
      <c r="I65" s="1452">
        <v>0</v>
      </c>
      <c r="J65" s="1452">
        <v>0</v>
      </c>
      <c r="K65" s="1457"/>
      <c r="L65" s="1457"/>
      <c r="M65" s="1457">
        <f t="shared" si="3"/>
        <v>0</v>
      </c>
      <c r="N65" s="1457">
        <f t="shared" si="4"/>
        <v>0</v>
      </c>
      <c r="O65" s="1453">
        <f t="shared" si="0"/>
        <v>0</v>
      </c>
      <c r="P65" s="1328">
        <f t="shared" si="1"/>
        <v>0</v>
      </c>
    </row>
    <row r="66" spans="1:16" ht="46.5" hidden="1" customHeight="1" outlineLevel="1" thickBot="1" x14ac:dyDescent="0.3">
      <c r="A66" s="1406" t="s">
        <v>1027</v>
      </c>
      <c r="B66" s="1407" t="s">
        <v>1028</v>
      </c>
      <c r="C66" s="1406" t="s">
        <v>1029</v>
      </c>
      <c r="D66" s="1451">
        <v>41968</v>
      </c>
      <c r="E66" s="1452">
        <v>1.91</v>
      </c>
      <c r="F66" s="1452">
        <v>0</v>
      </c>
      <c r="G66" s="1452">
        <v>0</v>
      </c>
      <c r="H66" s="1452">
        <f t="shared" si="2"/>
        <v>0</v>
      </c>
      <c r="I66" s="1452">
        <v>0</v>
      </c>
      <c r="J66" s="1452">
        <v>0</v>
      </c>
      <c r="K66" s="1458"/>
      <c r="L66" s="1458"/>
      <c r="M66" s="1458">
        <f t="shared" si="3"/>
        <v>0</v>
      </c>
      <c r="N66" s="1458">
        <f t="shared" si="4"/>
        <v>0</v>
      </c>
      <c r="O66" s="1453">
        <f t="shared" si="0"/>
        <v>0</v>
      </c>
      <c r="P66" s="1328">
        <f t="shared" si="1"/>
        <v>0</v>
      </c>
    </row>
    <row r="67" spans="1:16" ht="31" hidden="1" customHeight="1" outlineLevel="1" thickBot="1" x14ac:dyDescent="0.4">
      <c r="A67" s="1416" t="s">
        <v>1711</v>
      </c>
      <c r="B67" s="1422" t="s">
        <v>1030</v>
      </c>
      <c r="C67" s="1416" t="s">
        <v>1029</v>
      </c>
      <c r="D67" s="1456">
        <v>41968</v>
      </c>
      <c r="E67" s="1455">
        <v>1.91</v>
      </c>
      <c r="F67" s="1452">
        <v>0.69702600000000003</v>
      </c>
      <c r="G67" s="1452">
        <v>0.69702600000000003</v>
      </c>
      <c r="H67" s="1452">
        <f t="shared" si="2"/>
        <v>0</v>
      </c>
      <c r="I67" s="1452">
        <v>0</v>
      </c>
      <c r="J67" s="1452">
        <v>0</v>
      </c>
      <c r="K67" s="1455"/>
      <c r="L67" s="1455"/>
      <c r="M67" s="1455">
        <f t="shared" si="3"/>
        <v>0</v>
      </c>
      <c r="N67" s="1455">
        <f t="shared" si="4"/>
        <v>0</v>
      </c>
      <c r="O67" s="1453">
        <f t="shared" si="0"/>
        <v>0</v>
      </c>
      <c r="P67" s="1328">
        <f t="shared" si="1"/>
        <v>0</v>
      </c>
    </row>
    <row r="68" spans="1:16" ht="46.5" hidden="1" customHeight="1" outlineLevel="1" thickBot="1" x14ac:dyDescent="0.3">
      <c r="A68" s="1406" t="s">
        <v>1033</v>
      </c>
      <c r="B68" s="1407" t="s">
        <v>1034</v>
      </c>
      <c r="C68" s="1406" t="s">
        <v>1035</v>
      </c>
      <c r="D68" s="1451">
        <v>42585</v>
      </c>
      <c r="E68" s="1452">
        <v>1.3257526714285714</v>
      </c>
      <c r="F68" s="1452">
        <v>0</v>
      </c>
      <c r="G68" s="1452">
        <v>0</v>
      </c>
      <c r="H68" s="1452">
        <f t="shared" si="2"/>
        <v>0</v>
      </c>
      <c r="I68" s="1452">
        <v>0</v>
      </c>
      <c r="J68" s="1452">
        <v>0</v>
      </c>
      <c r="K68" s="1458"/>
      <c r="L68" s="1458"/>
      <c r="M68" s="1458">
        <f t="shared" si="3"/>
        <v>0</v>
      </c>
      <c r="N68" s="1458">
        <f t="shared" si="4"/>
        <v>0</v>
      </c>
      <c r="O68" s="1453">
        <f t="shared" si="0"/>
        <v>0</v>
      </c>
      <c r="P68" s="1328">
        <f t="shared" si="1"/>
        <v>0</v>
      </c>
    </row>
    <row r="69" spans="1:16" ht="31" hidden="1" customHeight="1" outlineLevel="1" thickBot="1" x14ac:dyDescent="0.4">
      <c r="A69" s="1416" t="s">
        <v>1712</v>
      </c>
      <c r="B69" s="1422" t="s">
        <v>1036</v>
      </c>
      <c r="C69" s="1416" t="s">
        <v>1035</v>
      </c>
      <c r="D69" s="1459">
        <v>42585</v>
      </c>
      <c r="E69" s="1455">
        <v>1.3257526714285714</v>
      </c>
      <c r="F69" s="1452">
        <v>0.9383999666666667</v>
      </c>
      <c r="G69" s="1452">
        <v>0.9383999666666667</v>
      </c>
      <c r="H69" s="1452">
        <f t="shared" si="2"/>
        <v>0</v>
      </c>
      <c r="I69" s="1452">
        <v>0</v>
      </c>
      <c r="J69" s="1452">
        <v>0</v>
      </c>
      <c r="K69" s="1455"/>
      <c r="L69" s="1455"/>
      <c r="M69" s="1455">
        <f t="shared" si="3"/>
        <v>0</v>
      </c>
      <c r="N69" s="1455">
        <f t="shared" si="4"/>
        <v>0</v>
      </c>
      <c r="O69" s="1453">
        <f t="shared" si="0"/>
        <v>0</v>
      </c>
      <c r="P69" s="1328">
        <f t="shared" si="1"/>
        <v>0</v>
      </c>
    </row>
    <row r="70" spans="1:16" ht="31" hidden="1" customHeight="1" outlineLevel="1" thickBot="1" x14ac:dyDescent="0.3">
      <c r="A70" s="1406" t="s">
        <v>1039</v>
      </c>
      <c r="B70" s="1407" t="s">
        <v>1040</v>
      </c>
      <c r="C70" s="1406" t="s">
        <v>1041</v>
      </c>
      <c r="D70" s="1451">
        <v>42643</v>
      </c>
      <c r="E70" s="1452">
        <v>0</v>
      </c>
      <c r="F70" s="1452">
        <v>0</v>
      </c>
      <c r="G70" s="1452">
        <v>0</v>
      </c>
      <c r="H70" s="1452">
        <f t="shared" si="2"/>
        <v>0</v>
      </c>
      <c r="I70" s="1452">
        <v>0</v>
      </c>
      <c r="J70" s="1452">
        <v>0</v>
      </c>
      <c r="K70" s="1458"/>
      <c r="L70" s="1458"/>
      <c r="M70" s="1458">
        <f t="shared" si="3"/>
        <v>0</v>
      </c>
      <c r="N70" s="1458">
        <f t="shared" si="4"/>
        <v>0</v>
      </c>
      <c r="O70" s="1453">
        <f t="shared" si="0"/>
        <v>0</v>
      </c>
      <c r="P70" s="1328">
        <f t="shared" si="1"/>
        <v>0</v>
      </c>
    </row>
    <row r="71" spans="1:16" ht="31" hidden="1" customHeight="1" outlineLevel="1" thickBot="1" x14ac:dyDescent="0.4">
      <c r="A71" s="1416" t="s">
        <v>1713</v>
      </c>
      <c r="B71" s="1422" t="s">
        <v>1042</v>
      </c>
      <c r="C71" s="1416" t="s">
        <v>1041</v>
      </c>
      <c r="D71" s="1459">
        <v>42643</v>
      </c>
      <c r="E71" s="1455">
        <v>0</v>
      </c>
      <c r="F71" s="1452">
        <v>0</v>
      </c>
      <c r="G71" s="1452">
        <v>0</v>
      </c>
      <c r="H71" s="1452">
        <f t="shared" si="2"/>
        <v>0</v>
      </c>
      <c r="I71" s="1452">
        <v>0</v>
      </c>
      <c r="J71" s="1452">
        <v>0</v>
      </c>
      <c r="K71" s="1455"/>
      <c r="L71" s="1455"/>
      <c r="M71" s="1455">
        <f t="shared" si="3"/>
        <v>0</v>
      </c>
      <c r="N71" s="1455">
        <f t="shared" si="4"/>
        <v>0</v>
      </c>
      <c r="O71" s="1453">
        <f t="shared" si="0"/>
        <v>0</v>
      </c>
      <c r="P71" s="1328">
        <f t="shared" si="1"/>
        <v>0</v>
      </c>
    </row>
    <row r="72" spans="1:16" ht="31" hidden="1" customHeight="1" outlineLevel="1" thickBot="1" x14ac:dyDescent="0.3">
      <c r="A72" s="1424" t="s">
        <v>1714</v>
      </c>
      <c r="B72" s="1425" t="s">
        <v>1715</v>
      </c>
      <c r="C72" s="1460" t="s">
        <v>1716</v>
      </c>
      <c r="D72" s="1461">
        <v>44604</v>
      </c>
      <c r="E72" s="1462">
        <v>57</v>
      </c>
      <c r="F72" s="1462">
        <v>0</v>
      </c>
      <c r="G72" s="1462">
        <v>0</v>
      </c>
      <c r="H72" s="1462">
        <f t="shared" si="2"/>
        <v>0</v>
      </c>
      <c r="I72" s="1462">
        <v>0</v>
      </c>
      <c r="J72" s="1462">
        <v>0</v>
      </c>
      <c r="K72" s="1463"/>
      <c r="L72" s="1463"/>
      <c r="M72" s="1463">
        <f t="shared" si="3"/>
        <v>0</v>
      </c>
      <c r="N72" s="1463">
        <f t="shared" si="4"/>
        <v>0</v>
      </c>
    </row>
    <row r="73" spans="1:16" ht="46.5" hidden="1" customHeight="1" outlineLevel="1" thickBot="1" x14ac:dyDescent="0.3">
      <c r="A73" s="1430" t="s">
        <v>1717</v>
      </c>
      <c r="B73" s="1431" t="s">
        <v>1715</v>
      </c>
      <c r="C73" s="1427" t="s">
        <v>1716</v>
      </c>
      <c r="D73" s="1464">
        <v>44604</v>
      </c>
      <c r="E73" s="1465">
        <v>54.24</v>
      </c>
      <c r="F73" s="1462">
        <v>0</v>
      </c>
      <c r="G73" s="1462">
        <v>0</v>
      </c>
      <c r="H73" s="1462">
        <f t="shared" si="2"/>
        <v>0</v>
      </c>
      <c r="I73" s="1462">
        <v>0</v>
      </c>
      <c r="J73" s="1462">
        <v>0</v>
      </c>
      <c r="K73" s="1465"/>
      <c r="L73" s="1465"/>
      <c r="M73" s="1465">
        <f t="shared" si="3"/>
        <v>0</v>
      </c>
      <c r="N73" s="1465">
        <f t="shared" si="4"/>
        <v>0</v>
      </c>
    </row>
    <row r="74" spans="1:16" ht="31" hidden="1" customHeight="1" outlineLevel="1" thickBot="1" x14ac:dyDescent="0.3">
      <c r="A74" s="1433"/>
      <c r="B74" s="1431" t="s">
        <v>414</v>
      </c>
      <c r="C74" s="1427" t="s">
        <v>1716</v>
      </c>
      <c r="D74" s="1464">
        <v>44604</v>
      </c>
      <c r="E74" s="1465">
        <v>2.76</v>
      </c>
      <c r="F74" s="1462">
        <v>0</v>
      </c>
      <c r="G74" s="1462">
        <v>0</v>
      </c>
      <c r="H74" s="1462">
        <f t="shared" si="2"/>
        <v>0</v>
      </c>
      <c r="I74" s="1462">
        <v>0</v>
      </c>
      <c r="J74" s="1462">
        <v>0</v>
      </c>
      <c r="K74" s="1465"/>
      <c r="L74" s="1465"/>
      <c r="M74" s="1465">
        <f t="shared" si="3"/>
        <v>0</v>
      </c>
      <c r="N74" s="1465">
        <f t="shared" si="4"/>
        <v>0</v>
      </c>
    </row>
    <row r="75" spans="1:16" ht="31" hidden="1" customHeight="1" outlineLevel="1" thickBot="1" x14ac:dyDescent="0.3">
      <c r="A75" s="1424" t="s">
        <v>1718</v>
      </c>
      <c r="B75" s="1425" t="s">
        <v>1719</v>
      </c>
      <c r="C75" s="1460" t="s">
        <v>1720</v>
      </c>
      <c r="D75" s="1461">
        <v>45232</v>
      </c>
      <c r="E75" s="1462">
        <v>69.308999999999997</v>
      </c>
      <c r="F75" s="1462">
        <v>0</v>
      </c>
      <c r="G75" s="1462">
        <v>0</v>
      </c>
      <c r="H75" s="1462">
        <f t="shared" ref="H75:H99" si="5">F75-G75</f>
        <v>0</v>
      </c>
      <c r="I75" s="1462">
        <v>0</v>
      </c>
      <c r="J75" s="1462">
        <v>0</v>
      </c>
      <c r="K75" s="1463"/>
      <c r="L75" s="1463"/>
      <c r="M75" s="1463">
        <f t="shared" ref="M75:M99" si="6">SUM(J75:L75)</f>
        <v>0</v>
      </c>
      <c r="N75" s="1463">
        <f t="shared" ref="N75:N99" si="7">H75+I75-M75</f>
        <v>0</v>
      </c>
    </row>
    <row r="76" spans="1:16" ht="46.5" hidden="1" customHeight="1" outlineLevel="1" thickBot="1" x14ac:dyDescent="0.3">
      <c r="A76" s="1430" t="s">
        <v>1721</v>
      </c>
      <c r="B76" s="1431" t="s">
        <v>1719</v>
      </c>
      <c r="C76" s="1427" t="s">
        <v>1720</v>
      </c>
      <c r="D76" s="1464">
        <v>45232</v>
      </c>
      <c r="E76" s="1465">
        <v>66.009</v>
      </c>
      <c r="F76" s="1462">
        <v>0</v>
      </c>
      <c r="G76" s="1462">
        <v>0</v>
      </c>
      <c r="H76" s="1462">
        <f t="shared" si="5"/>
        <v>0</v>
      </c>
      <c r="I76" s="1462">
        <v>0</v>
      </c>
      <c r="J76" s="1462">
        <v>0</v>
      </c>
      <c r="K76" s="1465"/>
      <c r="L76" s="1465"/>
      <c r="M76" s="1465">
        <f t="shared" si="6"/>
        <v>0</v>
      </c>
      <c r="N76" s="1465">
        <f t="shared" si="7"/>
        <v>0</v>
      </c>
    </row>
    <row r="77" spans="1:16" ht="31" hidden="1" customHeight="1" outlineLevel="1" thickBot="1" x14ac:dyDescent="0.3">
      <c r="A77" s="1433"/>
      <c r="B77" s="1431" t="s">
        <v>414</v>
      </c>
      <c r="C77" s="1427" t="s">
        <v>1720</v>
      </c>
      <c r="D77" s="1464">
        <v>45232</v>
      </c>
      <c r="E77" s="1465">
        <v>3.3</v>
      </c>
      <c r="F77" s="1462">
        <v>0</v>
      </c>
      <c r="G77" s="1462">
        <v>0</v>
      </c>
      <c r="H77" s="1462">
        <f t="shared" si="5"/>
        <v>0</v>
      </c>
      <c r="I77" s="1462">
        <v>0</v>
      </c>
      <c r="J77" s="1462">
        <v>0</v>
      </c>
      <c r="K77" s="1465"/>
      <c r="L77" s="1465"/>
      <c r="M77" s="1465">
        <f t="shared" si="6"/>
        <v>0</v>
      </c>
      <c r="N77" s="1465">
        <f t="shared" si="7"/>
        <v>0</v>
      </c>
    </row>
    <row r="78" spans="1:16" ht="15.5" hidden="1" customHeight="1" outlineLevel="1" thickBot="1" x14ac:dyDescent="0.3">
      <c r="A78" s="1433"/>
      <c r="B78" s="1431"/>
      <c r="C78" s="1427"/>
      <c r="D78" s="1464"/>
      <c r="E78" s="1465">
        <v>0</v>
      </c>
      <c r="F78" s="1462">
        <v>0</v>
      </c>
      <c r="G78" s="1462">
        <v>0</v>
      </c>
      <c r="H78" s="1462">
        <f t="shared" si="5"/>
        <v>0</v>
      </c>
      <c r="I78" s="1462">
        <v>0</v>
      </c>
      <c r="J78" s="1462">
        <v>0</v>
      </c>
      <c r="K78" s="1465"/>
      <c r="L78" s="1465"/>
      <c r="M78" s="1465">
        <f t="shared" si="6"/>
        <v>0</v>
      </c>
      <c r="N78" s="1465">
        <f t="shared" si="7"/>
        <v>0</v>
      </c>
    </row>
    <row r="79" spans="1:16" ht="15.5" hidden="1" customHeight="1" outlineLevel="1" thickBot="1" x14ac:dyDescent="0.3">
      <c r="A79" s="1433"/>
      <c r="B79" s="1431"/>
      <c r="C79" s="1427"/>
      <c r="D79" s="1464"/>
      <c r="E79" s="1465">
        <v>0</v>
      </c>
      <c r="F79" s="1462">
        <v>0</v>
      </c>
      <c r="G79" s="1462">
        <v>0</v>
      </c>
      <c r="H79" s="1462">
        <f t="shared" si="5"/>
        <v>0</v>
      </c>
      <c r="I79" s="1462">
        <v>0</v>
      </c>
      <c r="J79" s="1462">
        <v>0</v>
      </c>
      <c r="K79" s="1465"/>
      <c r="L79" s="1465"/>
      <c r="M79" s="1465">
        <f t="shared" si="6"/>
        <v>0</v>
      </c>
      <c r="N79" s="1465">
        <f t="shared" si="7"/>
        <v>0</v>
      </c>
    </row>
    <row r="80" spans="1:16" ht="15.5" hidden="1" customHeight="1" outlineLevel="1" thickBot="1" x14ac:dyDescent="0.3">
      <c r="A80" s="1280"/>
      <c r="B80" s="1329" t="s">
        <v>1722</v>
      </c>
      <c r="C80" s="1460"/>
      <c r="D80" s="1464"/>
      <c r="E80" s="1465">
        <v>0</v>
      </c>
      <c r="F80" s="1462">
        <v>0</v>
      </c>
      <c r="G80" s="1462">
        <v>0</v>
      </c>
      <c r="H80" s="1462">
        <f t="shared" si="5"/>
        <v>0</v>
      </c>
      <c r="I80" s="1462">
        <v>0</v>
      </c>
      <c r="J80" s="1462">
        <v>0</v>
      </c>
      <c r="K80" s="1465"/>
      <c r="L80" s="1465"/>
      <c r="M80" s="1465">
        <f t="shared" si="6"/>
        <v>0</v>
      </c>
      <c r="N80" s="1465">
        <f t="shared" si="7"/>
        <v>0</v>
      </c>
    </row>
    <row r="81" spans="1:14" ht="15.5" hidden="1" customHeight="1" outlineLevel="1" thickBot="1" x14ac:dyDescent="0.3">
      <c r="A81" s="1280"/>
      <c r="B81" s="1282">
        <v>0</v>
      </c>
      <c r="C81" s="1427"/>
      <c r="D81" s="1464"/>
      <c r="E81" s="1465">
        <v>0</v>
      </c>
      <c r="F81" s="1462">
        <v>0</v>
      </c>
      <c r="G81" s="1462">
        <v>0</v>
      </c>
      <c r="H81" s="1462">
        <f t="shared" si="5"/>
        <v>0</v>
      </c>
      <c r="I81" s="1462">
        <v>0</v>
      </c>
      <c r="J81" s="1462">
        <v>0</v>
      </c>
      <c r="K81" s="1465"/>
      <c r="L81" s="1465"/>
      <c r="M81" s="1465">
        <f t="shared" si="6"/>
        <v>0</v>
      </c>
      <c r="N81" s="1465">
        <f t="shared" si="7"/>
        <v>0</v>
      </c>
    </row>
    <row r="82" spans="1:14" ht="15.5" hidden="1" customHeight="1" outlineLevel="1" thickBot="1" x14ac:dyDescent="0.3">
      <c r="A82" s="1301"/>
      <c r="B82" s="1329" t="s">
        <v>1043</v>
      </c>
      <c r="C82" s="1460"/>
      <c r="D82" s="1464"/>
      <c r="E82" s="1465">
        <v>0</v>
      </c>
      <c r="F82" s="1462">
        <v>0</v>
      </c>
      <c r="G82" s="1462">
        <v>0</v>
      </c>
      <c r="H82" s="1462">
        <f t="shared" si="5"/>
        <v>0</v>
      </c>
      <c r="I82" s="1462">
        <v>0</v>
      </c>
      <c r="J82" s="1462">
        <v>0</v>
      </c>
      <c r="K82" s="1465"/>
      <c r="L82" s="1465"/>
      <c r="M82" s="1465">
        <f t="shared" si="6"/>
        <v>0</v>
      </c>
      <c r="N82" s="1465">
        <f t="shared" si="7"/>
        <v>0</v>
      </c>
    </row>
    <row r="83" spans="1:14" ht="18" hidden="1" customHeight="1" outlineLevel="1" thickBot="1" x14ac:dyDescent="0.3">
      <c r="A83" s="1304"/>
      <c r="B83" s="1305" t="s">
        <v>1068</v>
      </c>
      <c r="C83" s="1460"/>
      <c r="D83" s="1464"/>
      <c r="E83" s="1465">
        <v>0</v>
      </c>
      <c r="F83" s="1462">
        <v>0</v>
      </c>
      <c r="G83" s="1462">
        <v>0</v>
      </c>
      <c r="H83" s="1462">
        <f t="shared" si="5"/>
        <v>0</v>
      </c>
      <c r="I83" s="1462">
        <v>0</v>
      </c>
      <c r="J83" s="1462">
        <v>0</v>
      </c>
      <c r="K83" s="1465"/>
      <c r="L83" s="1465"/>
      <c r="M83" s="1465">
        <f t="shared" ref="M83:M86" si="8">SUM(J83:L83)</f>
        <v>0</v>
      </c>
      <c r="N83" s="1465">
        <f t="shared" si="7"/>
        <v>0</v>
      </c>
    </row>
    <row r="84" spans="1:14" ht="31" hidden="1" customHeight="1" outlineLevel="1" thickBot="1" x14ac:dyDescent="0.3">
      <c r="A84" s="1308">
        <v>1</v>
      </c>
      <c r="B84" s="1425" t="s">
        <v>1723</v>
      </c>
      <c r="C84" s="1460"/>
      <c r="D84" s="1464"/>
      <c r="E84" s="1465">
        <v>0</v>
      </c>
      <c r="F84" s="1462">
        <v>0</v>
      </c>
      <c r="G84" s="1462">
        <v>0</v>
      </c>
      <c r="H84" s="1462">
        <f t="shared" si="5"/>
        <v>0</v>
      </c>
      <c r="I84" s="1462">
        <v>0</v>
      </c>
      <c r="J84" s="1462">
        <v>0</v>
      </c>
      <c r="K84" s="1465"/>
      <c r="L84" s="1465"/>
      <c r="M84" s="1465">
        <f t="shared" si="8"/>
        <v>0</v>
      </c>
      <c r="N84" s="1465">
        <f t="shared" si="7"/>
        <v>0</v>
      </c>
    </row>
    <row r="85" spans="1:14" ht="31" hidden="1" customHeight="1" outlineLevel="1" thickBot="1" x14ac:dyDescent="0.3">
      <c r="A85" s="1313">
        <v>1.1000000000000001</v>
      </c>
      <c r="B85" s="1431" t="s">
        <v>1723</v>
      </c>
      <c r="C85" s="1460"/>
      <c r="D85" s="1464"/>
      <c r="E85" s="1465">
        <v>0</v>
      </c>
      <c r="F85" s="1462">
        <v>0</v>
      </c>
      <c r="G85" s="1462">
        <v>0</v>
      </c>
      <c r="H85" s="1462">
        <f t="shared" si="5"/>
        <v>0</v>
      </c>
      <c r="I85" s="1462">
        <v>0</v>
      </c>
      <c r="J85" s="1462">
        <v>0</v>
      </c>
      <c r="K85" s="1465"/>
      <c r="L85" s="1465"/>
      <c r="M85" s="1465">
        <f t="shared" si="8"/>
        <v>0</v>
      </c>
      <c r="N85" s="1465">
        <f t="shared" si="7"/>
        <v>0</v>
      </c>
    </row>
    <row r="86" spans="1:14" ht="15.5" hidden="1" customHeight="1" outlineLevel="1" thickBot="1" x14ac:dyDescent="0.35">
      <c r="A86" s="1301"/>
      <c r="B86" s="265">
        <v>0</v>
      </c>
      <c r="C86" s="1460"/>
      <c r="D86" s="1464"/>
      <c r="E86" s="1465">
        <v>0</v>
      </c>
      <c r="F86" s="1462">
        <v>0</v>
      </c>
      <c r="G86" s="1462">
        <v>0</v>
      </c>
      <c r="H86" s="1462">
        <f t="shared" si="5"/>
        <v>0</v>
      </c>
      <c r="I86" s="1462">
        <v>0</v>
      </c>
      <c r="J86" s="1462">
        <v>0</v>
      </c>
      <c r="K86" s="1465"/>
      <c r="L86" s="1465"/>
      <c r="M86" s="1465">
        <f t="shared" si="8"/>
        <v>0</v>
      </c>
      <c r="N86" s="1465">
        <f t="shared" si="7"/>
        <v>0</v>
      </c>
    </row>
    <row r="87" spans="1:14" ht="15.5" hidden="1" customHeight="1" outlineLevel="1" thickBot="1" x14ac:dyDescent="0.35">
      <c r="A87" s="1301"/>
      <c r="B87" s="528" t="s">
        <v>1044</v>
      </c>
      <c r="C87" s="1427"/>
      <c r="D87" s="1464"/>
      <c r="E87" s="1465">
        <v>0</v>
      </c>
      <c r="F87" s="1462">
        <v>0</v>
      </c>
      <c r="G87" s="1462">
        <v>0</v>
      </c>
      <c r="H87" s="1462">
        <f t="shared" si="5"/>
        <v>0</v>
      </c>
      <c r="I87" s="1462">
        <v>0</v>
      </c>
      <c r="J87" s="1462">
        <v>0</v>
      </c>
      <c r="K87" s="1465"/>
      <c r="L87" s="1465"/>
      <c r="M87" s="1465">
        <f t="shared" si="6"/>
        <v>0</v>
      </c>
      <c r="N87" s="1465">
        <f t="shared" si="7"/>
        <v>0</v>
      </c>
    </row>
    <row r="88" spans="1:14" ht="28" hidden="1" customHeight="1" outlineLevel="1" thickBot="1" x14ac:dyDescent="0.35">
      <c r="A88" s="1301">
        <v>1</v>
      </c>
      <c r="B88" s="1315" t="s">
        <v>1045</v>
      </c>
      <c r="C88" s="1427"/>
      <c r="D88" s="1464"/>
      <c r="E88" s="1465">
        <v>0</v>
      </c>
      <c r="F88" s="1462">
        <v>1.80009</v>
      </c>
      <c r="G88" s="1462">
        <v>1.80009</v>
      </c>
      <c r="H88" s="1462">
        <f t="shared" si="5"/>
        <v>0</v>
      </c>
      <c r="I88" s="1462">
        <v>0</v>
      </c>
      <c r="J88" s="1462">
        <v>0</v>
      </c>
      <c r="K88" s="1465"/>
      <c r="L88" s="1465"/>
      <c r="M88" s="1465">
        <f t="shared" si="6"/>
        <v>0</v>
      </c>
      <c r="N88" s="1465">
        <f t="shared" si="7"/>
        <v>0</v>
      </c>
    </row>
    <row r="89" spans="1:14" ht="15.5" hidden="1" customHeight="1" outlineLevel="1" thickBot="1" x14ac:dyDescent="0.35">
      <c r="A89" s="1301">
        <v>2</v>
      </c>
      <c r="B89" s="265" t="s">
        <v>1046</v>
      </c>
      <c r="C89" s="1427"/>
      <c r="D89" s="1464"/>
      <c r="E89" s="1465">
        <v>0</v>
      </c>
      <c r="F89" s="1462">
        <v>3.1968099999999999E-2</v>
      </c>
      <c r="G89" s="1462">
        <v>3.1968099999999999E-2</v>
      </c>
      <c r="H89" s="1462">
        <f t="shared" si="5"/>
        <v>0</v>
      </c>
      <c r="I89" s="1462">
        <v>0</v>
      </c>
      <c r="J89" s="1462">
        <v>0</v>
      </c>
      <c r="K89" s="1465"/>
      <c r="L89" s="1465"/>
      <c r="M89" s="1465">
        <f t="shared" si="6"/>
        <v>0</v>
      </c>
      <c r="N89" s="1465">
        <f t="shared" si="7"/>
        <v>0</v>
      </c>
    </row>
    <row r="90" spans="1:14" ht="15.5" hidden="1" customHeight="1" outlineLevel="1" thickBot="1" x14ac:dyDescent="0.35">
      <c r="A90" s="1301">
        <v>3</v>
      </c>
      <c r="B90" s="265" t="s">
        <v>1047</v>
      </c>
      <c r="C90" s="1427"/>
      <c r="D90" s="1464"/>
      <c r="E90" s="1465">
        <v>0</v>
      </c>
      <c r="F90" s="1462">
        <v>6.4529699999999995E-2</v>
      </c>
      <c r="G90" s="1462">
        <v>6.4529699999999995E-2</v>
      </c>
      <c r="H90" s="1462">
        <f t="shared" si="5"/>
        <v>0</v>
      </c>
      <c r="I90" s="1462">
        <v>0</v>
      </c>
      <c r="J90" s="1462">
        <v>0</v>
      </c>
      <c r="K90" s="1465"/>
      <c r="L90" s="1465"/>
      <c r="M90" s="1465">
        <f t="shared" si="6"/>
        <v>0</v>
      </c>
      <c r="N90" s="1465">
        <f t="shared" si="7"/>
        <v>0</v>
      </c>
    </row>
    <row r="91" spans="1:14" ht="15.5" hidden="1" customHeight="1" outlineLevel="1" thickBot="1" x14ac:dyDescent="0.35">
      <c r="A91" s="1301">
        <v>4</v>
      </c>
      <c r="B91" s="817" t="s">
        <v>1048</v>
      </c>
      <c r="C91" s="1427"/>
      <c r="D91" s="1464"/>
      <c r="E91" s="1465">
        <v>0</v>
      </c>
      <c r="F91" s="1462">
        <v>2.2089600000000001E-2</v>
      </c>
      <c r="G91" s="1462">
        <v>2.2089600000000001E-2</v>
      </c>
      <c r="H91" s="1462">
        <f t="shared" si="5"/>
        <v>0</v>
      </c>
      <c r="I91" s="1462">
        <v>0</v>
      </c>
      <c r="J91" s="1462">
        <v>0</v>
      </c>
      <c r="K91" s="1465"/>
      <c r="L91" s="1465"/>
      <c r="M91" s="1465">
        <f t="shared" si="6"/>
        <v>0</v>
      </c>
      <c r="N91" s="1465">
        <f t="shared" si="7"/>
        <v>0</v>
      </c>
    </row>
    <row r="92" spans="1:14" ht="15.5" hidden="1" customHeight="1" outlineLevel="1" thickBot="1" x14ac:dyDescent="0.35">
      <c r="A92" s="1301">
        <v>5</v>
      </c>
      <c r="B92" s="817" t="s">
        <v>1049</v>
      </c>
      <c r="C92" s="1427"/>
      <c r="D92" s="1464"/>
      <c r="E92" s="1465">
        <v>0</v>
      </c>
      <c r="F92" s="1462">
        <v>0.60696666700000002</v>
      </c>
      <c r="G92" s="1462">
        <v>0.60696666700000002</v>
      </c>
      <c r="H92" s="1462">
        <f t="shared" si="5"/>
        <v>0</v>
      </c>
      <c r="I92" s="1462">
        <v>0</v>
      </c>
      <c r="J92" s="1462">
        <v>0</v>
      </c>
      <c r="K92" s="1465"/>
      <c r="L92" s="1465"/>
      <c r="M92" s="1465">
        <f t="shared" si="6"/>
        <v>0</v>
      </c>
      <c r="N92" s="1465">
        <f t="shared" si="7"/>
        <v>0</v>
      </c>
    </row>
    <row r="93" spans="1:14" ht="15.5" hidden="1" customHeight="1" outlineLevel="1" thickBot="1" x14ac:dyDescent="0.35">
      <c r="A93" s="1301">
        <v>6</v>
      </c>
      <c r="B93" s="265" t="s">
        <v>1050</v>
      </c>
      <c r="C93" s="1427"/>
      <c r="D93" s="1464"/>
      <c r="E93" s="1465">
        <v>0</v>
      </c>
      <c r="F93" s="1462">
        <v>0.345735079</v>
      </c>
      <c r="G93" s="1462">
        <v>0.345735079</v>
      </c>
      <c r="H93" s="1462">
        <f t="shared" si="5"/>
        <v>0</v>
      </c>
      <c r="I93" s="1462">
        <v>0</v>
      </c>
      <c r="J93" s="1462">
        <v>0</v>
      </c>
      <c r="K93" s="1465"/>
      <c r="L93" s="1465"/>
      <c r="M93" s="1465">
        <f t="shared" si="6"/>
        <v>0</v>
      </c>
      <c r="N93" s="1465">
        <f t="shared" si="7"/>
        <v>0</v>
      </c>
    </row>
    <row r="94" spans="1:14" ht="15.5" hidden="1" customHeight="1" outlineLevel="1" thickBot="1" x14ac:dyDescent="0.4">
      <c r="A94" s="1301">
        <v>7</v>
      </c>
      <c r="B94" s="1319" t="s">
        <v>1724</v>
      </c>
      <c r="C94" s="1427"/>
      <c r="D94" s="1464"/>
      <c r="E94" s="1465">
        <v>0</v>
      </c>
      <c r="F94" s="1462">
        <v>0</v>
      </c>
      <c r="G94" s="1462">
        <v>0</v>
      </c>
      <c r="H94" s="1462">
        <f t="shared" si="5"/>
        <v>0</v>
      </c>
      <c r="I94" s="1462">
        <v>0</v>
      </c>
      <c r="J94" s="1462">
        <v>0</v>
      </c>
      <c r="K94" s="1465"/>
      <c r="L94" s="1465"/>
      <c r="M94" s="1465">
        <f t="shared" si="6"/>
        <v>0</v>
      </c>
      <c r="N94" s="1465">
        <f t="shared" si="7"/>
        <v>0</v>
      </c>
    </row>
    <row r="95" spans="1:14" ht="15.5" hidden="1" customHeight="1" outlineLevel="1" thickBot="1" x14ac:dyDescent="0.4">
      <c r="A95" s="1301">
        <v>8</v>
      </c>
      <c r="B95" s="1319" t="s">
        <v>1725</v>
      </c>
      <c r="C95" s="1427"/>
      <c r="D95" s="1464"/>
      <c r="E95" s="1465">
        <v>0</v>
      </c>
      <c r="F95" s="1462">
        <v>0</v>
      </c>
      <c r="G95" s="1462">
        <v>0</v>
      </c>
      <c r="H95" s="1462">
        <f t="shared" si="5"/>
        <v>0</v>
      </c>
      <c r="I95" s="1462">
        <v>3.4999940000000002E-3</v>
      </c>
      <c r="J95" s="1462">
        <v>3.4999940000000002E-3</v>
      </c>
      <c r="K95" s="1465"/>
      <c r="L95" s="1465"/>
      <c r="M95" s="1465">
        <f t="shared" si="6"/>
        <v>3.4999940000000002E-3</v>
      </c>
      <c r="N95" s="1465">
        <f t="shared" si="7"/>
        <v>0</v>
      </c>
    </row>
    <row r="96" spans="1:14" ht="15.5" hidden="1" customHeight="1" outlineLevel="1" thickBot="1" x14ac:dyDescent="0.4">
      <c r="A96" s="1301">
        <v>9</v>
      </c>
      <c r="B96" s="1319" t="s">
        <v>1727</v>
      </c>
      <c r="C96" s="1427"/>
      <c r="D96" s="1464"/>
      <c r="E96" s="1465">
        <v>0</v>
      </c>
      <c r="F96" s="1462">
        <v>0</v>
      </c>
      <c r="G96" s="1462">
        <v>0</v>
      </c>
      <c r="H96" s="1462">
        <f t="shared" si="5"/>
        <v>0</v>
      </c>
      <c r="I96" s="1462">
        <v>0.258863014</v>
      </c>
      <c r="J96" s="1462">
        <v>0.258863014</v>
      </c>
      <c r="K96" s="1465"/>
      <c r="L96" s="1465"/>
      <c r="M96" s="1465">
        <f t="shared" si="6"/>
        <v>0.258863014</v>
      </c>
      <c r="N96" s="1465">
        <f t="shared" si="7"/>
        <v>0</v>
      </c>
    </row>
    <row r="97" spans="1:16" ht="15.5" hidden="1" customHeight="1" outlineLevel="1" thickBot="1" x14ac:dyDescent="0.4">
      <c r="A97" s="1301">
        <v>10</v>
      </c>
      <c r="B97" s="1319" t="s">
        <v>1725</v>
      </c>
      <c r="C97" s="1427"/>
      <c r="D97" s="1464"/>
      <c r="E97" s="1465">
        <v>0</v>
      </c>
      <c r="F97" s="1462">
        <v>0</v>
      </c>
      <c r="G97" s="1462">
        <v>0</v>
      </c>
      <c r="H97" s="1462">
        <f t="shared" si="5"/>
        <v>0</v>
      </c>
      <c r="I97" s="1462">
        <v>0</v>
      </c>
      <c r="J97" s="1462">
        <v>0</v>
      </c>
      <c r="K97" s="1465"/>
      <c r="L97" s="1465"/>
      <c r="M97" s="1465">
        <f t="shared" si="6"/>
        <v>0</v>
      </c>
      <c r="N97" s="1465">
        <f t="shared" si="7"/>
        <v>0</v>
      </c>
    </row>
    <row r="98" spans="1:16" ht="15.5" hidden="1" customHeight="1" outlineLevel="1" thickBot="1" x14ac:dyDescent="0.4">
      <c r="A98" s="1301">
        <v>11</v>
      </c>
      <c r="B98" s="1319" t="s">
        <v>1727</v>
      </c>
      <c r="C98" s="1427"/>
      <c r="D98" s="1464"/>
      <c r="E98" s="1465">
        <v>0</v>
      </c>
      <c r="F98" s="1462">
        <v>0</v>
      </c>
      <c r="G98" s="1462">
        <v>0</v>
      </c>
      <c r="H98" s="1462">
        <f t="shared" si="5"/>
        <v>0</v>
      </c>
      <c r="I98" s="1462">
        <v>0</v>
      </c>
      <c r="J98" s="1462">
        <v>0</v>
      </c>
      <c r="K98" s="1465"/>
      <c r="L98" s="1465"/>
      <c r="M98" s="1465">
        <f t="shared" si="6"/>
        <v>0</v>
      </c>
      <c r="N98" s="1465">
        <f t="shared" si="7"/>
        <v>0</v>
      </c>
    </row>
    <row r="99" spans="1:16" ht="16" hidden="1" outlineLevel="1" thickBot="1" x14ac:dyDescent="0.4">
      <c r="A99" s="1301">
        <v>12</v>
      </c>
      <c r="B99" s="1319" t="s">
        <v>511</v>
      </c>
      <c r="C99" s="1427"/>
      <c r="D99" s="1464"/>
      <c r="E99" s="1465">
        <v>0</v>
      </c>
      <c r="F99" s="1462">
        <v>0</v>
      </c>
      <c r="G99" s="1462">
        <v>0</v>
      </c>
      <c r="H99" s="1462">
        <f t="shared" si="5"/>
        <v>0</v>
      </c>
      <c r="I99" s="1462">
        <v>0</v>
      </c>
      <c r="J99" s="1462">
        <v>0</v>
      </c>
      <c r="K99" s="1465"/>
      <c r="L99" s="1465"/>
      <c r="M99" s="1465">
        <f t="shared" si="6"/>
        <v>0</v>
      </c>
      <c r="N99" s="1465">
        <f t="shared" si="7"/>
        <v>0</v>
      </c>
    </row>
    <row r="100" spans="1:16" s="1379" customFormat="1" ht="15.5" collapsed="1" thickBot="1" x14ac:dyDescent="0.3">
      <c r="A100" s="1330"/>
      <c r="B100" s="1331" t="s">
        <v>271</v>
      </c>
      <c r="C100" s="1332"/>
      <c r="D100" s="1333"/>
      <c r="E100" s="1466"/>
      <c r="F100" s="1466">
        <f>SUM(F10:F94)</f>
        <v>56.356884950641877</v>
      </c>
      <c r="G100" s="1466">
        <f>SUM(G10:G94)</f>
        <v>56.356884950641877</v>
      </c>
      <c r="H100" s="1466">
        <f>SUM(H10:H94)</f>
        <v>0</v>
      </c>
      <c r="I100" s="1466">
        <f t="shared" ref="I100:N100" si="9">+SUM(I10:I99)</f>
        <v>0.26236300800000001</v>
      </c>
      <c r="J100" s="1466">
        <f t="shared" si="9"/>
        <v>0.26236300800000001</v>
      </c>
      <c r="K100" s="1466">
        <f t="shared" si="9"/>
        <v>0</v>
      </c>
      <c r="L100" s="1466">
        <f t="shared" si="9"/>
        <v>0</v>
      </c>
      <c r="M100" s="1466">
        <f t="shared" si="9"/>
        <v>0.26236300800000001</v>
      </c>
      <c r="N100" s="1466">
        <f t="shared" si="9"/>
        <v>0</v>
      </c>
    </row>
    <row r="102" spans="1:16" ht="14.5" thickBot="1" x14ac:dyDescent="0.3">
      <c r="A102" s="1445"/>
      <c r="B102" s="543" t="s">
        <v>506</v>
      </c>
      <c r="C102" s="1446"/>
      <c r="D102" s="1447"/>
      <c r="E102" s="315"/>
      <c r="F102" s="315"/>
      <c r="G102" s="315"/>
      <c r="H102" s="315"/>
      <c r="I102" s="315"/>
      <c r="J102" s="315"/>
      <c r="K102" s="315"/>
      <c r="L102" s="315"/>
      <c r="M102" s="315"/>
      <c r="N102" s="315"/>
    </row>
    <row r="103" spans="1:16" ht="15" hidden="1" customHeight="1" outlineLevel="1" thickBot="1" x14ac:dyDescent="0.35">
      <c r="A103" s="1280"/>
      <c r="B103" s="1327" t="str">
        <f t="shared" ref="B103:E118" si="10">B8</f>
        <v>a) DPR Schemes</v>
      </c>
      <c r="C103" s="1446"/>
      <c r="D103" s="1447"/>
      <c r="E103" s="315"/>
      <c r="F103" s="315"/>
      <c r="G103" s="315"/>
      <c r="H103" s="315"/>
      <c r="I103" s="315"/>
      <c r="J103" s="315"/>
      <c r="K103" s="315"/>
      <c r="L103" s="315"/>
      <c r="M103" s="315"/>
      <c r="N103" s="315"/>
    </row>
    <row r="104" spans="1:16" ht="14" hidden="1" customHeight="1" outlineLevel="1" thickBot="1" x14ac:dyDescent="0.3">
      <c r="A104" s="1280"/>
      <c r="B104" s="1282" t="str">
        <f t="shared" si="10"/>
        <v>(i) In-principle approved by MERC</v>
      </c>
      <c r="C104" s="1449"/>
      <c r="D104" s="1450"/>
      <c r="E104" s="315"/>
      <c r="F104" s="315"/>
      <c r="G104" s="315"/>
      <c r="H104" s="315"/>
      <c r="I104" s="315"/>
      <c r="J104" s="315"/>
      <c r="K104" s="315"/>
      <c r="L104" s="315"/>
      <c r="M104" s="315"/>
      <c r="N104" s="315"/>
    </row>
    <row r="105" spans="1:16" ht="31" hidden="1" customHeight="1" outlineLevel="1" thickBot="1" x14ac:dyDescent="0.3">
      <c r="A105" s="1406">
        <f>A10</f>
        <v>1</v>
      </c>
      <c r="B105" s="1407" t="str">
        <f t="shared" si="10"/>
        <v>Replacement of economizer &amp; LTSH coils at Unit # 2</v>
      </c>
      <c r="C105" s="1406" t="str">
        <f t="shared" si="10"/>
        <v>MERC/CAPEX/20122013/00179</v>
      </c>
      <c r="D105" s="1451">
        <f t="shared" si="10"/>
        <v>41022</v>
      </c>
      <c r="E105" s="1452">
        <f t="shared" si="10"/>
        <v>10.177999999999999</v>
      </c>
      <c r="F105" s="1452">
        <f t="shared" ref="F105:F168" si="11">F10+I10</f>
        <v>0</v>
      </c>
      <c r="G105" s="1452">
        <f t="shared" ref="G105:G168" si="12">G10+M10</f>
        <v>0</v>
      </c>
      <c r="H105" s="1452">
        <f t="shared" ref="H105:H168" si="13">F105-G105</f>
        <v>0</v>
      </c>
      <c r="I105" s="1452">
        <v>0</v>
      </c>
      <c r="J105" s="1452">
        <v>0</v>
      </c>
      <c r="K105" s="1452"/>
      <c r="L105" s="1452"/>
      <c r="M105" s="1452">
        <f t="shared" ref="M105" si="14">SUM(J105:L105)</f>
        <v>0</v>
      </c>
      <c r="N105" s="1452">
        <f t="shared" ref="N105:N168" si="15">H105+I105-M105</f>
        <v>0</v>
      </c>
      <c r="O105" s="1453">
        <f t="shared" ref="O105:O166" si="16">MAX(0,IF(M105=0,0,IF(G105+M105&lt;E105,M105,E105-G105)))</f>
        <v>0</v>
      </c>
      <c r="P105" s="1328">
        <f t="shared" ref="P105:P166" si="17">M105-O105</f>
        <v>0</v>
      </c>
    </row>
    <row r="106" spans="1:16" ht="15.5" hidden="1" customHeight="1" outlineLevel="1" thickBot="1" x14ac:dyDescent="0.3">
      <c r="A106" s="1411">
        <f>A11</f>
        <v>1.1000000000000001</v>
      </c>
      <c r="B106" s="1412" t="str">
        <f t="shared" si="10"/>
        <v>Replacement of Economiser Coil</v>
      </c>
      <c r="C106" s="1411" t="str">
        <f t="shared" si="10"/>
        <v>MERC/CAPEX/20122013/00179</v>
      </c>
      <c r="D106" s="1454">
        <f t="shared" si="10"/>
        <v>41022</v>
      </c>
      <c r="E106" s="1414">
        <f t="shared" si="10"/>
        <v>3.524</v>
      </c>
      <c r="F106" s="1452">
        <f t="shared" si="11"/>
        <v>3.47</v>
      </c>
      <c r="G106" s="1452">
        <f t="shared" si="12"/>
        <v>3.47</v>
      </c>
      <c r="H106" s="1452">
        <f t="shared" si="13"/>
        <v>0</v>
      </c>
      <c r="I106" s="1452">
        <v>0</v>
      </c>
      <c r="J106" s="1452">
        <v>0</v>
      </c>
      <c r="K106" s="1414"/>
      <c r="L106" s="1414"/>
      <c r="M106" s="1414">
        <f t="shared" ref="M106:M166" si="18">SUM(J106:L106)</f>
        <v>0</v>
      </c>
      <c r="N106" s="1414">
        <f t="shared" si="15"/>
        <v>0</v>
      </c>
      <c r="O106" s="1453">
        <f t="shared" si="16"/>
        <v>0</v>
      </c>
      <c r="P106" s="1328">
        <f t="shared" si="17"/>
        <v>0</v>
      </c>
    </row>
    <row r="107" spans="1:16" ht="15.5" hidden="1" customHeight="1" outlineLevel="1" thickBot="1" x14ac:dyDescent="0.3">
      <c r="A107" s="1411"/>
      <c r="B107" s="1412" t="str">
        <f t="shared" si="10"/>
        <v>IDC</v>
      </c>
      <c r="C107" s="1411" t="str">
        <f t="shared" si="10"/>
        <v>MERC/CAPEX/20122013/00179</v>
      </c>
      <c r="D107" s="1454">
        <f t="shared" si="10"/>
        <v>41022</v>
      </c>
      <c r="E107" s="1414">
        <f t="shared" si="10"/>
        <v>0.20300000000000001</v>
      </c>
      <c r="F107" s="1452">
        <f t="shared" si="11"/>
        <v>0</v>
      </c>
      <c r="G107" s="1452">
        <f t="shared" si="12"/>
        <v>0</v>
      </c>
      <c r="H107" s="1452">
        <f t="shared" si="13"/>
        <v>0</v>
      </c>
      <c r="I107" s="1452">
        <v>0</v>
      </c>
      <c r="J107" s="1452">
        <v>0</v>
      </c>
      <c r="K107" s="1414"/>
      <c r="L107" s="1414"/>
      <c r="M107" s="1414">
        <f t="shared" si="18"/>
        <v>0</v>
      </c>
      <c r="N107" s="1414">
        <f t="shared" si="15"/>
        <v>0</v>
      </c>
      <c r="O107" s="1453">
        <f t="shared" si="16"/>
        <v>0</v>
      </c>
      <c r="P107" s="1328">
        <f t="shared" si="17"/>
        <v>0</v>
      </c>
    </row>
    <row r="108" spans="1:16" ht="15.5" hidden="1" customHeight="1" outlineLevel="1" thickBot="1" x14ac:dyDescent="0.3">
      <c r="A108" s="1411">
        <f>A13</f>
        <v>1.2</v>
      </c>
      <c r="B108" s="1412" t="str">
        <f t="shared" si="10"/>
        <v>Replacement of LTSH Coil</v>
      </c>
      <c r="C108" s="1411" t="str">
        <f t="shared" si="10"/>
        <v>MERC/CAPEX/20122013/00179</v>
      </c>
      <c r="D108" s="1454">
        <f t="shared" si="10"/>
        <v>41022</v>
      </c>
      <c r="E108" s="1414">
        <f t="shared" si="10"/>
        <v>6.0940000000000003</v>
      </c>
      <c r="F108" s="1452">
        <f t="shared" si="11"/>
        <v>5.32</v>
      </c>
      <c r="G108" s="1452">
        <f t="shared" si="12"/>
        <v>5.32</v>
      </c>
      <c r="H108" s="1452">
        <f t="shared" si="13"/>
        <v>0</v>
      </c>
      <c r="I108" s="1452">
        <v>0</v>
      </c>
      <c r="J108" s="1452">
        <v>0</v>
      </c>
      <c r="K108" s="1414"/>
      <c r="L108" s="1414"/>
      <c r="M108" s="1414">
        <f t="shared" si="18"/>
        <v>0</v>
      </c>
      <c r="N108" s="1414">
        <f t="shared" si="15"/>
        <v>0</v>
      </c>
      <c r="O108" s="1453">
        <f t="shared" si="16"/>
        <v>0</v>
      </c>
      <c r="P108" s="1328">
        <f t="shared" si="17"/>
        <v>0</v>
      </c>
    </row>
    <row r="109" spans="1:16" ht="15.5" hidden="1" customHeight="1" outlineLevel="1" thickBot="1" x14ac:dyDescent="0.3">
      <c r="A109" s="1411"/>
      <c r="B109" s="1412" t="str">
        <f t="shared" si="10"/>
        <v>IDC</v>
      </c>
      <c r="C109" s="1411" t="str">
        <f t="shared" si="10"/>
        <v>MERC/CAPEX/20122013/00179</v>
      </c>
      <c r="D109" s="1454">
        <f t="shared" si="10"/>
        <v>41022</v>
      </c>
      <c r="E109" s="1414">
        <f t="shared" si="10"/>
        <v>0.35699999999999998</v>
      </c>
      <c r="F109" s="1452">
        <f t="shared" si="11"/>
        <v>0</v>
      </c>
      <c r="G109" s="1452">
        <f t="shared" si="12"/>
        <v>0</v>
      </c>
      <c r="H109" s="1452">
        <f t="shared" si="13"/>
        <v>0</v>
      </c>
      <c r="I109" s="1452">
        <v>0</v>
      </c>
      <c r="J109" s="1452">
        <v>0</v>
      </c>
      <c r="K109" s="1414"/>
      <c r="L109" s="1414"/>
      <c r="M109" s="1414">
        <f t="shared" si="18"/>
        <v>0</v>
      </c>
      <c r="N109" s="1414">
        <f t="shared" si="15"/>
        <v>0</v>
      </c>
      <c r="O109" s="1453">
        <f t="shared" si="16"/>
        <v>0</v>
      </c>
      <c r="P109" s="1328">
        <f t="shared" si="17"/>
        <v>0</v>
      </c>
    </row>
    <row r="110" spans="1:16" ht="31" hidden="1" customHeight="1" outlineLevel="1" thickBot="1" x14ac:dyDescent="0.3">
      <c r="A110" s="1406">
        <f t="shared" ref="A110:A117" si="19">A15</f>
        <v>2</v>
      </c>
      <c r="B110" s="1407" t="str">
        <f t="shared" si="10"/>
        <v>Boiler and Turbine improvement
(Station Heat Rate Improvement)</v>
      </c>
      <c r="C110" s="1406" t="str">
        <f t="shared" si="10"/>
        <v>MERC/TECH 1/CAPEX/20122013/02325</v>
      </c>
      <c r="D110" s="1451">
        <f t="shared" si="10"/>
        <v>41285</v>
      </c>
      <c r="E110" s="1452">
        <f t="shared" si="10"/>
        <v>16.783805100000002</v>
      </c>
      <c r="F110" s="1452">
        <f t="shared" si="11"/>
        <v>0</v>
      </c>
      <c r="G110" s="1452">
        <f t="shared" si="12"/>
        <v>0</v>
      </c>
      <c r="H110" s="1452">
        <f t="shared" si="13"/>
        <v>0</v>
      </c>
      <c r="I110" s="1452">
        <v>0</v>
      </c>
      <c r="J110" s="1452">
        <v>0</v>
      </c>
      <c r="K110" s="1452"/>
      <c r="L110" s="1452"/>
      <c r="M110" s="1452">
        <f t="shared" si="18"/>
        <v>0</v>
      </c>
      <c r="N110" s="1452">
        <f t="shared" si="15"/>
        <v>0</v>
      </c>
      <c r="O110" s="1453">
        <f t="shared" si="16"/>
        <v>0</v>
      </c>
      <c r="P110" s="1328">
        <f t="shared" si="17"/>
        <v>0</v>
      </c>
    </row>
    <row r="111" spans="1:16" ht="31" hidden="1" customHeight="1" outlineLevel="1" thickBot="1" x14ac:dyDescent="0.3">
      <c r="A111" s="1411">
        <f t="shared" si="19"/>
        <v>2.1</v>
      </c>
      <c r="B111" s="1412" t="str">
        <f t="shared" si="10"/>
        <v>Vent condenser performance improvement by replacement of eroded tube nest by unit 3.</v>
      </c>
      <c r="C111" s="1411" t="str">
        <f t="shared" si="10"/>
        <v>MERC/TECH 1/CAPEX/20122013/02325</v>
      </c>
      <c r="D111" s="1454">
        <f t="shared" si="10"/>
        <v>41285</v>
      </c>
      <c r="E111" s="1414">
        <f t="shared" si="10"/>
        <v>0.28599999999999998</v>
      </c>
      <c r="F111" s="1452">
        <f t="shared" si="11"/>
        <v>0</v>
      </c>
      <c r="G111" s="1452">
        <f t="shared" si="12"/>
        <v>0</v>
      </c>
      <c r="H111" s="1452">
        <f t="shared" si="13"/>
        <v>0</v>
      </c>
      <c r="I111" s="1452">
        <v>0</v>
      </c>
      <c r="J111" s="1452">
        <v>0</v>
      </c>
      <c r="K111" s="1414"/>
      <c r="L111" s="1414"/>
      <c r="M111" s="1414">
        <f t="shared" si="18"/>
        <v>0</v>
      </c>
      <c r="N111" s="1414">
        <f t="shared" si="15"/>
        <v>0</v>
      </c>
      <c r="O111" s="1453">
        <f t="shared" si="16"/>
        <v>0</v>
      </c>
      <c r="P111" s="1328">
        <f t="shared" si="17"/>
        <v>0</v>
      </c>
    </row>
    <row r="112" spans="1:16" ht="31" hidden="1" customHeight="1" outlineLevel="1" thickBot="1" x14ac:dyDescent="0.3">
      <c r="A112" s="1411">
        <f t="shared" si="19"/>
        <v>2.2000000000000002</v>
      </c>
      <c r="B112" s="1412" t="str">
        <f t="shared" si="10"/>
        <v>Replacement of major extraction valves &amp;NRVs of unit 3</v>
      </c>
      <c r="C112" s="1411" t="str">
        <f t="shared" si="10"/>
        <v>MERC/TECH 1/CAPEX/20122013/02325</v>
      </c>
      <c r="D112" s="1454">
        <f t="shared" si="10"/>
        <v>41285</v>
      </c>
      <c r="E112" s="1414">
        <f t="shared" si="10"/>
        <v>0.51900000000000002</v>
      </c>
      <c r="F112" s="1452">
        <f t="shared" si="11"/>
        <v>0</v>
      </c>
      <c r="G112" s="1452">
        <f t="shared" si="12"/>
        <v>0</v>
      </c>
      <c r="H112" s="1452">
        <f t="shared" si="13"/>
        <v>0</v>
      </c>
      <c r="I112" s="1452">
        <v>0</v>
      </c>
      <c r="J112" s="1452">
        <v>0</v>
      </c>
      <c r="K112" s="1414"/>
      <c r="L112" s="1414"/>
      <c r="M112" s="1414">
        <f t="shared" si="18"/>
        <v>0</v>
      </c>
      <c r="N112" s="1414">
        <f t="shared" si="15"/>
        <v>0</v>
      </c>
      <c r="O112" s="1453">
        <f t="shared" si="16"/>
        <v>0</v>
      </c>
      <c r="P112" s="1328">
        <f t="shared" si="17"/>
        <v>0</v>
      </c>
    </row>
    <row r="113" spans="1:16" ht="31" hidden="1" customHeight="1" outlineLevel="1" thickBot="1" x14ac:dyDescent="0.3">
      <c r="A113" s="1411">
        <f t="shared" si="19"/>
        <v>2.2999999999999998</v>
      </c>
      <c r="B113" s="1412" t="str">
        <f t="shared" si="10"/>
        <v>60% replacement of boiler skin insulation (Unit 2)</v>
      </c>
      <c r="C113" s="1411" t="str">
        <f t="shared" si="10"/>
        <v>MERC/TECH 1/CAPEX/20122013/02325</v>
      </c>
      <c r="D113" s="1454">
        <f t="shared" si="10"/>
        <v>41285</v>
      </c>
      <c r="E113" s="1414">
        <f t="shared" si="10"/>
        <v>0.29299999999999998</v>
      </c>
      <c r="F113" s="1452">
        <f t="shared" si="11"/>
        <v>0</v>
      </c>
      <c r="G113" s="1452">
        <f t="shared" si="12"/>
        <v>0</v>
      </c>
      <c r="H113" s="1452">
        <f t="shared" si="13"/>
        <v>0</v>
      </c>
      <c r="I113" s="1452">
        <v>0</v>
      </c>
      <c r="J113" s="1452">
        <v>0</v>
      </c>
      <c r="K113" s="1414"/>
      <c r="L113" s="1414"/>
      <c r="M113" s="1414">
        <f t="shared" si="18"/>
        <v>0</v>
      </c>
      <c r="N113" s="1414">
        <f t="shared" si="15"/>
        <v>0</v>
      </c>
      <c r="O113" s="1453">
        <f t="shared" si="16"/>
        <v>0</v>
      </c>
      <c r="P113" s="1328">
        <f t="shared" si="17"/>
        <v>0</v>
      </c>
    </row>
    <row r="114" spans="1:16" ht="31" hidden="1" customHeight="1" outlineLevel="1" thickBot="1" x14ac:dyDescent="0.3">
      <c r="A114" s="1411">
        <f t="shared" si="19"/>
        <v>2.4</v>
      </c>
      <c r="B114" s="1412" t="str">
        <f t="shared" si="10"/>
        <v>Replacement of DM make up ( unit 3) and GSH water pump.( units 2 &amp;3)</v>
      </c>
      <c r="C114" s="1411" t="str">
        <f t="shared" si="10"/>
        <v>MERC/TECH 1/CAPEX/20122013/02325</v>
      </c>
      <c r="D114" s="1454">
        <f t="shared" si="10"/>
        <v>41285</v>
      </c>
      <c r="E114" s="1414">
        <f t="shared" si="10"/>
        <v>0.20599999999999999</v>
      </c>
      <c r="F114" s="1452">
        <f t="shared" si="11"/>
        <v>0.26354099999999997</v>
      </c>
      <c r="G114" s="1452">
        <f t="shared" si="12"/>
        <v>0.26354099999999997</v>
      </c>
      <c r="H114" s="1452">
        <f t="shared" si="13"/>
        <v>0</v>
      </c>
      <c r="I114" s="1452">
        <v>0</v>
      </c>
      <c r="J114" s="1452">
        <v>0</v>
      </c>
      <c r="K114" s="1414"/>
      <c r="L114" s="1414"/>
      <c r="M114" s="1414">
        <f t="shared" si="18"/>
        <v>0</v>
      </c>
      <c r="N114" s="1414">
        <f t="shared" si="15"/>
        <v>0</v>
      </c>
      <c r="O114" s="1453">
        <f t="shared" si="16"/>
        <v>0</v>
      </c>
      <c r="P114" s="1328">
        <f t="shared" si="17"/>
        <v>0</v>
      </c>
    </row>
    <row r="115" spans="1:16" ht="31" hidden="1" customHeight="1" outlineLevel="1" thickBot="1" x14ac:dyDescent="0.3">
      <c r="A115" s="1411">
        <f t="shared" si="19"/>
        <v>2.5</v>
      </c>
      <c r="B115" s="1412" t="str">
        <f t="shared" si="10"/>
        <v>Replacement of LTSH coils (unit 3)</v>
      </c>
      <c r="C115" s="1411" t="str">
        <f t="shared" si="10"/>
        <v>MERC/TECH 1/CAPEX/20122013/02325</v>
      </c>
      <c r="D115" s="1454">
        <f t="shared" si="10"/>
        <v>41285</v>
      </c>
      <c r="E115" s="1414">
        <f t="shared" si="10"/>
        <v>8.3689999999999998</v>
      </c>
      <c r="F115" s="1452">
        <f t="shared" si="11"/>
        <v>5.319992955</v>
      </c>
      <c r="G115" s="1452">
        <f t="shared" si="12"/>
        <v>5.319992955</v>
      </c>
      <c r="H115" s="1452">
        <f t="shared" si="13"/>
        <v>0</v>
      </c>
      <c r="I115" s="1452">
        <v>0</v>
      </c>
      <c r="J115" s="1452">
        <v>0</v>
      </c>
      <c r="K115" s="1414"/>
      <c r="L115" s="1414"/>
      <c r="M115" s="1414">
        <f t="shared" si="18"/>
        <v>0</v>
      </c>
      <c r="N115" s="1414">
        <f t="shared" si="15"/>
        <v>0</v>
      </c>
      <c r="O115" s="1453">
        <f t="shared" si="16"/>
        <v>0</v>
      </c>
      <c r="P115" s="1328">
        <f t="shared" si="17"/>
        <v>0</v>
      </c>
    </row>
    <row r="116" spans="1:16" ht="31" hidden="1" customHeight="1" outlineLevel="1" thickBot="1" x14ac:dyDescent="0.3">
      <c r="A116" s="1411">
        <f t="shared" si="19"/>
        <v>2.6</v>
      </c>
      <c r="B116" s="1412" t="str">
        <f t="shared" si="10"/>
        <v>Replacement of ECO coils (unit 3)</v>
      </c>
      <c r="C116" s="1411" t="str">
        <f t="shared" si="10"/>
        <v>MERC/TECH 1/CAPEX/20122013/02325</v>
      </c>
      <c r="D116" s="1454">
        <f t="shared" si="10"/>
        <v>41285</v>
      </c>
      <c r="E116" s="1414">
        <f t="shared" si="10"/>
        <v>6.032</v>
      </c>
      <c r="F116" s="1452">
        <f t="shared" si="11"/>
        <v>3.47281854</v>
      </c>
      <c r="G116" s="1452">
        <f t="shared" si="12"/>
        <v>3.47281854</v>
      </c>
      <c r="H116" s="1452">
        <f t="shared" si="13"/>
        <v>0</v>
      </c>
      <c r="I116" s="1452">
        <v>0</v>
      </c>
      <c r="J116" s="1452">
        <v>0</v>
      </c>
      <c r="K116" s="1414"/>
      <c r="L116" s="1414"/>
      <c r="M116" s="1414">
        <f t="shared" si="18"/>
        <v>0</v>
      </c>
      <c r="N116" s="1414">
        <f t="shared" si="15"/>
        <v>0</v>
      </c>
      <c r="O116" s="1453">
        <f t="shared" si="16"/>
        <v>0</v>
      </c>
      <c r="P116" s="1328">
        <f t="shared" si="17"/>
        <v>0</v>
      </c>
    </row>
    <row r="117" spans="1:16" ht="31" hidden="1" customHeight="1" outlineLevel="1" thickBot="1" x14ac:dyDescent="0.3">
      <c r="A117" s="1411">
        <f t="shared" si="19"/>
        <v>2.7</v>
      </c>
      <c r="B117" s="1412" t="str">
        <f t="shared" si="10"/>
        <v>Replacement of old LT AHP pump impeller by energy efficient stainless steel impeller</v>
      </c>
      <c r="C117" s="1411" t="str">
        <f t="shared" si="10"/>
        <v>MERC/TECH 1/CAPEX/20122013/02325</v>
      </c>
      <c r="D117" s="1454">
        <f t="shared" si="10"/>
        <v>41285</v>
      </c>
      <c r="E117" s="1414">
        <f t="shared" si="10"/>
        <v>0.1488051</v>
      </c>
      <c r="F117" s="1452">
        <f t="shared" si="11"/>
        <v>0.1488051</v>
      </c>
      <c r="G117" s="1452">
        <f t="shared" si="12"/>
        <v>0.1488051</v>
      </c>
      <c r="H117" s="1452">
        <f t="shared" si="13"/>
        <v>0</v>
      </c>
      <c r="I117" s="1452">
        <v>0</v>
      </c>
      <c r="J117" s="1452">
        <v>0</v>
      </c>
      <c r="K117" s="1414"/>
      <c r="L117" s="1414"/>
      <c r="M117" s="1414">
        <f t="shared" si="18"/>
        <v>0</v>
      </c>
      <c r="N117" s="1414">
        <f t="shared" si="15"/>
        <v>0</v>
      </c>
      <c r="O117" s="1453">
        <f t="shared" si="16"/>
        <v>0</v>
      </c>
      <c r="P117" s="1328">
        <f t="shared" si="17"/>
        <v>0</v>
      </c>
    </row>
    <row r="118" spans="1:16" ht="31" hidden="1" customHeight="1" outlineLevel="1" thickBot="1" x14ac:dyDescent="0.3">
      <c r="A118" s="1416"/>
      <c r="B118" s="1412" t="str">
        <f t="shared" si="10"/>
        <v>IDC</v>
      </c>
      <c r="C118" s="1411" t="str">
        <f t="shared" si="10"/>
        <v>MERC/TECH 1/CAPEX/20122013/02325</v>
      </c>
      <c r="D118" s="1454">
        <f t="shared" si="10"/>
        <v>41285</v>
      </c>
      <c r="E118" s="1455">
        <f t="shared" si="10"/>
        <v>0.93</v>
      </c>
      <c r="F118" s="1452">
        <f t="shared" si="11"/>
        <v>0</v>
      </c>
      <c r="G118" s="1452">
        <f t="shared" si="12"/>
        <v>0</v>
      </c>
      <c r="H118" s="1452">
        <f t="shared" si="13"/>
        <v>0</v>
      </c>
      <c r="I118" s="1452">
        <v>0</v>
      </c>
      <c r="J118" s="1452">
        <v>0</v>
      </c>
      <c r="K118" s="1455"/>
      <c r="L118" s="1455"/>
      <c r="M118" s="1455">
        <f t="shared" si="18"/>
        <v>0</v>
      </c>
      <c r="N118" s="1455">
        <f t="shared" si="15"/>
        <v>0</v>
      </c>
      <c r="O118" s="1453">
        <f t="shared" si="16"/>
        <v>0</v>
      </c>
      <c r="P118" s="1328">
        <f t="shared" si="17"/>
        <v>0</v>
      </c>
    </row>
    <row r="119" spans="1:16" ht="31" hidden="1" customHeight="1" outlineLevel="1" thickBot="1" x14ac:dyDescent="0.3">
      <c r="A119" s="1406">
        <f t="shared" ref="A119:E134" si="20">A24</f>
        <v>3</v>
      </c>
      <c r="B119" s="1407" t="str">
        <f t="shared" si="20"/>
        <v>Measuring and Monitoring of Coal consumption</v>
      </c>
      <c r="C119" s="1406" t="str">
        <f t="shared" si="20"/>
        <v>MERC/CAPEX/20122013/00912</v>
      </c>
      <c r="D119" s="1451">
        <f t="shared" si="20"/>
        <v>41114</v>
      </c>
      <c r="E119" s="1452">
        <f t="shared" si="20"/>
        <v>45.918030000000002</v>
      </c>
      <c r="F119" s="1452">
        <f t="shared" si="11"/>
        <v>0</v>
      </c>
      <c r="G119" s="1452">
        <f t="shared" si="12"/>
        <v>0</v>
      </c>
      <c r="H119" s="1452">
        <f t="shared" si="13"/>
        <v>0</v>
      </c>
      <c r="I119" s="1452">
        <v>0</v>
      </c>
      <c r="J119" s="1452">
        <v>0</v>
      </c>
      <c r="K119" s="1452"/>
      <c r="L119" s="1452"/>
      <c r="M119" s="1452">
        <f t="shared" si="18"/>
        <v>0</v>
      </c>
      <c r="N119" s="1452">
        <f t="shared" si="15"/>
        <v>0</v>
      </c>
      <c r="O119" s="1453">
        <f t="shared" si="16"/>
        <v>0</v>
      </c>
      <c r="P119" s="1328">
        <f t="shared" si="17"/>
        <v>0</v>
      </c>
    </row>
    <row r="120" spans="1:16" ht="15.5" hidden="1" customHeight="1" outlineLevel="1" thickBot="1" x14ac:dyDescent="0.3">
      <c r="A120" s="1416">
        <f t="shared" si="20"/>
        <v>3.1</v>
      </c>
      <c r="B120" s="1412" t="str">
        <f t="shared" si="20"/>
        <v>Belt Weighers</v>
      </c>
      <c r="C120" s="1416" t="str">
        <f t="shared" si="20"/>
        <v>MERC/CAPEX/20122013/00912</v>
      </c>
      <c r="D120" s="1456">
        <f t="shared" si="20"/>
        <v>41114</v>
      </c>
      <c r="E120" s="1414">
        <f t="shared" si="20"/>
        <v>0.8044</v>
      </c>
      <c r="F120" s="1452">
        <f t="shared" si="11"/>
        <v>0</v>
      </c>
      <c r="G120" s="1452">
        <f t="shared" si="12"/>
        <v>0</v>
      </c>
      <c r="H120" s="1452">
        <f t="shared" si="13"/>
        <v>0</v>
      </c>
      <c r="I120" s="1452">
        <v>0</v>
      </c>
      <c r="J120" s="1452">
        <v>0</v>
      </c>
      <c r="K120" s="1414"/>
      <c r="L120" s="1414"/>
      <c r="M120" s="1414">
        <f t="shared" si="18"/>
        <v>0</v>
      </c>
      <c r="N120" s="1414">
        <f t="shared" si="15"/>
        <v>0</v>
      </c>
      <c r="O120" s="1453">
        <f t="shared" si="16"/>
        <v>0</v>
      </c>
      <c r="P120" s="1328">
        <f t="shared" si="17"/>
        <v>0</v>
      </c>
    </row>
    <row r="121" spans="1:16" ht="15.5" hidden="1" customHeight="1" outlineLevel="1" thickBot="1" x14ac:dyDescent="0.3">
      <c r="A121" s="1416">
        <f t="shared" si="20"/>
        <v>3.2</v>
      </c>
      <c r="B121" s="1412" t="str">
        <f t="shared" si="20"/>
        <v xml:space="preserve">Fully automatic pit-less in motion weigh bridges </v>
      </c>
      <c r="C121" s="1416" t="str">
        <f t="shared" si="20"/>
        <v>MERC/CAPEX/20122013/00912</v>
      </c>
      <c r="D121" s="1456">
        <f t="shared" si="20"/>
        <v>41114</v>
      </c>
      <c r="E121" s="1414">
        <f t="shared" si="20"/>
        <v>0.41149999999999998</v>
      </c>
      <c r="F121" s="1452">
        <f t="shared" si="11"/>
        <v>0</v>
      </c>
      <c r="G121" s="1452">
        <f t="shared" si="12"/>
        <v>0</v>
      </c>
      <c r="H121" s="1452">
        <f t="shared" si="13"/>
        <v>0</v>
      </c>
      <c r="I121" s="1452">
        <v>0</v>
      </c>
      <c r="J121" s="1452">
        <v>0</v>
      </c>
      <c r="K121" s="1414"/>
      <c r="L121" s="1414"/>
      <c r="M121" s="1414">
        <f t="shared" si="18"/>
        <v>0</v>
      </c>
      <c r="N121" s="1414">
        <f t="shared" si="15"/>
        <v>0</v>
      </c>
      <c r="O121" s="1453">
        <f t="shared" si="16"/>
        <v>0</v>
      </c>
      <c r="P121" s="1328">
        <f t="shared" si="17"/>
        <v>0</v>
      </c>
    </row>
    <row r="122" spans="1:16" ht="15.5" hidden="1" customHeight="1" outlineLevel="1" thickBot="1" x14ac:dyDescent="0.3">
      <c r="A122" s="1416">
        <f t="shared" si="20"/>
        <v>3.3</v>
      </c>
      <c r="B122" s="1412" t="str">
        <f t="shared" si="20"/>
        <v>Installation side arm charger for Wagon tippler 1A &amp; 1B</v>
      </c>
      <c r="C122" s="1416" t="str">
        <f t="shared" si="20"/>
        <v>MERC/CAPEX/20122013/00912</v>
      </c>
      <c r="D122" s="1456">
        <f t="shared" si="20"/>
        <v>41114</v>
      </c>
      <c r="E122" s="1414">
        <f t="shared" si="20"/>
        <v>21.96</v>
      </c>
      <c r="F122" s="1452">
        <f t="shared" si="11"/>
        <v>0</v>
      </c>
      <c r="G122" s="1452">
        <f t="shared" si="12"/>
        <v>0</v>
      </c>
      <c r="H122" s="1452">
        <f t="shared" si="13"/>
        <v>0</v>
      </c>
      <c r="I122" s="1452">
        <v>0</v>
      </c>
      <c r="J122" s="1452">
        <v>0</v>
      </c>
      <c r="K122" s="1414"/>
      <c r="L122" s="1414"/>
      <c r="M122" s="1414">
        <f t="shared" si="18"/>
        <v>0</v>
      </c>
      <c r="N122" s="1414">
        <f t="shared" si="15"/>
        <v>0</v>
      </c>
      <c r="O122" s="1453">
        <f t="shared" si="16"/>
        <v>0</v>
      </c>
      <c r="P122" s="1328">
        <f t="shared" si="17"/>
        <v>0</v>
      </c>
    </row>
    <row r="123" spans="1:16" ht="31" hidden="1" customHeight="1" outlineLevel="1" thickBot="1" x14ac:dyDescent="0.3">
      <c r="A123" s="1416">
        <f t="shared" si="20"/>
        <v>3.4</v>
      </c>
      <c r="B123" s="1412" t="str">
        <f t="shared" si="20"/>
        <v>Dust Extraction System at Secondary Crusher house &amp; Conveyor 6A/B at stage II CHP</v>
      </c>
      <c r="C123" s="1416" t="str">
        <f t="shared" si="20"/>
        <v>MERC/CAPEX/20122013/00912</v>
      </c>
      <c r="D123" s="1456">
        <f t="shared" si="20"/>
        <v>41114</v>
      </c>
      <c r="E123" s="1414">
        <f t="shared" si="20"/>
        <v>2.0714999999999999</v>
      </c>
      <c r="F123" s="1452">
        <f t="shared" si="11"/>
        <v>0</v>
      </c>
      <c r="G123" s="1452">
        <f t="shared" si="12"/>
        <v>0</v>
      </c>
      <c r="H123" s="1452">
        <f t="shared" si="13"/>
        <v>0</v>
      </c>
      <c r="I123" s="1452">
        <v>0</v>
      </c>
      <c r="J123" s="1452">
        <v>0</v>
      </c>
      <c r="K123" s="1414"/>
      <c r="L123" s="1414"/>
      <c r="M123" s="1414">
        <f t="shared" si="18"/>
        <v>0</v>
      </c>
      <c r="N123" s="1414">
        <f t="shared" si="15"/>
        <v>0</v>
      </c>
      <c r="O123" s="1453">
        <f t="shared" si="16"/>
        <v>0</v>
      </c>
      <c r="P123" s="1328">
        <f t="shared" si="17"/>
        <v>0</v>
      </c>
    </row>
    <row r="124" spans="1:16" ht="93" hidden="1" customHeight="1" outlineLevel="1" thickBot="1" x14ac:dyDescent="0.3">
      <c r="A124" s="1416">
        <f t="shared" si="20"/>
        <v>3.5</v>
      </c>
      <c r="B124" s="1412" t="str">
        <f t="shared" si="20"/>
        <v>Fogging system at 
a) WT old along with PCR, SCR and bunker level belt at Stage I CHP
b) Conveyor 7A/B
c) 100 Mtrx100 Mtr Coal stock area
d) 200 Mtrx200 Mtr Coal stock area</v>
      </c>
      <c r="C124" s="1416" t="str">
        <f t="shared" si="20"/>
        <v>MERC/CAPEX/20122013/00912</v>
      </c>
      <c r="D124" s="1456">
        <f t="shared" si="20"/>
        <v>41114</v>
      </c>
      <c r="E124" s="1414">
        <f t="shared" si="20"/>
        <v>2.2831000000000001</v>
      </c>
      <c r="F124" s="1452">
        <f t="shared" si="11"/>
        <v>0.4695358</v>
      </c>
      <c r="G124" s="1452">
        <f t="shared" si="12"/>
        <v>0.4695358</v>
      </c>
      <c r="H124" s="1452">
        <f t="shared" si="13"/>
        <v>0</v>
      </c>
      <c r="I124" s="1452">
        <v>0</v>
      </c>
      <c r="J124" s="1452">
        <v>0</v>
      </c>
      <c r="K124" s="1414"/>
      <c r="L124" s="1414"/>
      <c r="M124" s="1414">
        <f t="shared" si="18"/>
        <v>0</v>
      </c>
      <c r="N124" s="1414">
        <f t="shared" si="15"/>
        <v>0</v>
      </c>
      <c r="O124" s="1453">
        <f t="shared" si="16"/>
        <v>0</v>
      </c>
      <c r="P124" s="1328">
        <f t="shared" si="17"/>
        <v>0</v>
      </c>
    </row>
    <row r="125" spans="1:16" ht="15.5" hidden="1" customHeight="1" outlineLevel="1" thickBot="1" x14ac:dyDescent="0.3">
      <c r="A125" s="1416">
        <f t="shared" si="20"/>
        <v>3.6</v>
      </c>
      <c r="B125" s="1412" t="str">
        <f t="shared" si="20"/>
        <v xml:space="preserve">Bunker level montoring system for 12 bunkers </v>
      </c>
      <c r="C125" s="1416" t="str">
        <f t="shared" si="20"/>
        <v>MERC/CAPEX/20122013/00912</v>
      </c>
      <c r="D125" s="1456">
        <f t="shared" si="20"/>
        <v>41114</v>
      </c>
      <c r="E125" s="1414">
        <f t="shared" si="20"/>
        <v>2.5038</v>
      </c>
      <c r="F125" s="1452">
        <f t="shared" si="11"/>
        <v>0</v>
      </c>
      <c r="G125" s="1452">
        <f t="shared" si="12"/>
        <v>0</v>
      </c>
      <c r="H125" s="1452">
        <f t="shared" si="13"/>
        <v>0</v>
      </c>
      <c r="I125" s="1452">
        <v>0</v>
      </c>
      <c r="J125" s="1452">
        <v>0</v>
      </c>
      <c r="K125" s="1414"/>
      <c r="L125" s="1414"/>
      <c r="M125" s="1414">
        <f t="shared" si="18"/>
        <v>0</v>
      </c>
      <c r="N125" s="1414">
        <f t="shared" si="15"/>
        <v>0</v>
      </c>
      <c r="O125" s="1453">
        <f t="shared" si="16"/>
        <v>0</v>
      </c>
      <c r="P125" s="1328">
        <f t="shared" si="17"/>
        <v>0</v>
      </c>
    </row>
    <row r="126" spans="1:16" ht="15.5" hidden="1" customHeight="1" outlineLevel="1" thickBot="1" x14ac:dyDescent="0.3">
      <c r="A126" s="1416">
        <f t="shared" si="20"/>
        <v>3.7</v>
      </c>
      <c r="B126" s="1412" t="str">
        <f t="shared" si="20"/>
        <v xml:space="preserve">Rotary pneumatic or electrical hammers </v>
      </c>
      <c r="C126" s="1416" t="str">
        <f t="shared" si="20"/>
        <v>MERC/CAPEX/20122013/00912</v>
      </c>
      <c r="D126" s="1456">
        <f t="shared" si="20"/>
        <v>41114</v>
      </c>
      <c r="E126" s="1414">
        <f t="shared" si="20"/>
        <v>9.7000000000000003E-2</v>
      </c>
      <c r="F126" s="1452">
        <f t="shared" si="11"/>
        <v>0</v>
      </c>
      <c r="G126" s="1452">
        <f t="shared" si="12"/>
        <v>0</v>
      </c>
      <c r="H126" s="1452">
        <f t="shared" si="13"/>
        <v>0</v>
      </c>
      <c r="I126" s="1452">
        <v>0</v>
      </c>
      <c r="J126" s="1452">
        <v>0</v>
      </c>
      <c r="K126" s="1414"/>
      <c r="L126" s="1414"/>
      <c r="M126" s="1414">
        <f t="shared" si="18"/>
        <v>0</v>
      </c>
      <c r="N126" s="1414">
        <f t="shared" si="15"/>
        <v>0</v>
      </c>
      <c r="O126" s="1453">
        <f t="shared" si="16"/>
        <v>0</v>
      </c>
      <c r="P126" s="1328">
        <f t="shared" si="17"/>
        <v>0</v>
      </c>
    </row>
    <row r="127" spans="1:16" ht="31" hidden="1" customHeight="1" outlineLevel="1" thickBot="1" x14ac:dyDescent="0.3">
      <c r="A127" s="1416">
        <f t="shared" si="20"/>
        <v>3.8</v>
      </c>
      <c r="B127" s="1412" t="str">
        <f t="shared" si="20"/>
        <v xml:space="preserve">Enhancement of unloading capacity of CHP from 360 TPH to 500 TPH </v>
      </c>
      <c r="C127" s="1416" t="str">
        <f t="shared" si="20"/>
        <v>MERC/CAPEX/20122013/00912</v>
      </c>
      <c r="D127" s="1456">
        <f t="shared" si="20"/>
        <v>41114</v>
      </c>
      <c r="E127" s="1414">
        <f t="shared" si="20"/>
        <v>7.6508000000000003</v>
      </c>
      <c r="F127" s="1452">
        <f t="shared" si="11"/>
        <v>0</v>
      </c>
      <c r="G127" s="1452">
        <f t="shared" si="12"/>
        <v>0</v>
      </c>
      <c r="H127" s="1452">
        <f t="shared" si="13"/>
        <v>0</v>
      </c>
      <c r="I127" s="1452">
        <v>0</v>
      </c>
      <c r="J127" s="1452">
        <v>0</v>
      </c>
      <c r="K127" s="1414"/>
      <c r="L127" s="1414"/>
      <c r="M127" s="1414">
        <f t="shared" si="18"/>
        <v>0</v>
      </c>
      <c r="N127" s="1414">
        <f t="shared" si="15"/>
        <v>0</v>
      </c>
      <c r="O127" s="1453">
        <f t="shared" si="16"/>
        <v>0</v>
      </c>
      <c r="P127" s="1328">
        <f t="shared" si="17"/>
        <v>0</v>
      </c>
    </row>
    <row r="128" spans="1:16" ht="77.5" hidden="1" customHeight="1" outlineLevel="1" thickBot="1" x14ac:dyDescent="0.3">
      <c r="A128" s="1416">
        <f t="shared" si="20"/>
        <v>3.9</v>
      </c>
      <c r="B128" s="1412" t="str">
        <f t="shared" si="20"/>
        <v>Quick detection of poor coal quality through CCTV on overhead watch
tower focused onto the wagons, over which the rake passes at low
speed &amp; various conveyor tunnels</v>
      </c>
      <c r="C128" s="1416" t="str">
        <f t="shared" si="20"/>
        <v>MERC/CAPEX/20122013/00912</v>
      </c>
      <c r="D128" s="1456">
        <f t="shared" si="20"/>
        <v>41114</v>
      </c>
      <c r="E128" s="1414">
        <f t="shared" si="20"/>
        <v>0.29680000000000001</v>
      </c>
      <c r="F128" s="1452">
        <f t="shared" si="11"/>
        <v>0</v>
      </c>
      <c r="G128" s="1452">
        <f t="shared" si="12"/>
        <v>0</v>
      </c>
      <c r="H128" s="1452">
        <f t="shared" si="13"/>
        <v>0</v>
      </c>
      <c r="I128" s="1452">
        <v>0</v>
      </c>
      <c r="J128" s="1452">
        <v>0</v>
      </c>
      <c r="K128" s="1414"/>
      <c r="L128" s="1414"/>
      <c r="M128" s="1414">
        <f t="shared" si="18"/>
        <v>0</v>
      </c>
      <c r="N128" s="1414">
        <f t="shared" si="15"/>
        <v>0</v>
      </c>
      <c r="O128" s="1453">
        <f t="shared" si="16"/>
        <v>0</v>
      </c>
      <c r="P128" s="1328">
        <f t="shared" si="17"/>
        <v>0</v>
      </c>
    </row>
    <row r="129" spans="1:16" ht="15.5" hidden="1" customHeight="1" outlineLevel="1" thickBot="1" x14ac:dyDescent="0.3">
      <c r="A129" s="1418">
        <f t="shared" si="20"/>
        <v>3.1</v>
      </c>
      <c r="B129" s="1412" t="str">
        <f t="shared" si="20"/>
        <v xml:space="preserve">Motor controller for conveyor motors of Stage II CHP </v>
      </c>
      <c r="C129" s="1416" t="str">
        <f t="shared" si="20"/>
        <v>MERC/CAPEX/20122013/00912</v>
      </c>
      <c r="D129" s="1456">
        <f t="shared" si="20"/>
        <v>41114</v>
      </c>
      <c r="E129" s="1414">
        <f t="shared" si="20"/>
        <v>0.9607</v>
      </c>
      <c r="F129" s="1452">
        <f t="shared" si="11"/>
        <v>0.9607</v>
      </c>
      <c r="G129" s="1452">
        <f t="shared" si="12"/>
        <v>0.9607</v>
      </c>
      <c r="H129" s="1452">
        <f t="shared" si="13"/>
        <v>0</v>
      </c>
      <c r="I129" s="1452">
        <v>0</v>
      </c>
      <c r="J129" s="1452">
        <v>0</v>
      </c>
      <c r="K129" s="1414"/>
      <c r="L129" s="1414"/>
      <c r="M129" s="1414">
        <f t="shared" si="18"/>
        <v>0</v>
      </c>
      <c r="N129" s="1414">
        <f t="shared" si="15"/>
        <v>0</v>
      </c>
      <c r="O129" s="1453">
        <f t="shared" si="16"/>
        <v>0</v>
      </c>
      <c r="P129" s="1328">
        <f t="shared" si="17"/>
        <v>0</v>
      </c>
    </row>
    <row r="130" spans="1:16" ht="31" hidden="1" customHeight="1" outlineLevel="1" thickBot="1" x14ac:dyDescent="0.3">
      <c r="A130" s="1416">
        <f t="shared" si="20"/>
        <v>3.11</v>
      </c>
      <c r="B130" s="1412" t="str">
        <f t="shared" si="20"/>
        <v>Procurement of a CHN apparatus for ultimate analysis for operational optimization and coal mapping studies.</v>
      </c>
      <c r="C130" s="1416" t="str">
        <f t="shared" si="20"/>
        <v>MERC/CAPEX/20122013/00912</v>
      </c>
      <c r="D130" s="1456">
        <f t="shared" si="20"/>
        <v>41114</v>
      </c>
      <c r="E130" s="1414">
        <f t="shared" si="20"/>
        <v>0.63617000000000001</v>
      </c>
      <c r="F130" s="1452">
        <f t="shared" si="11"/>
        <v>0</v>
      </c>
      <c r="G130" s="1452">
        <f t="shared" si="12"/>
        <v>0</v>
      </c>
      <c r="H130" s="1452">
        <f t="shared" si="13"/>
        <v>0</v>
      </c>
      <c r="I130" s="1452">
        <v>0</v>
      </c>
      <c r="J130" s="1452">
        <v>0</v>
      </c>
      <c r="K130" s="1414"/>
      <c r="L130" s="1414"/>
      <c r="M130" s="1414">
        <f t="shared" si="18"/>
        <v>0</v>
      </c>
      <c r="N130" s="1414">
        <f t="shared" si="15"/>
        <v>0</v>
      </c>
      <c r="O130" s="1453">
        <f t="shared" si="16"/>
        <v>0</v>
      </c>
      <c r="P130" s="1328">
        <f t="shared" si="17"/>
        <v>0</v>
      </c>
    </row>
    <row r="131" spans="1:16" ht="15.5" hidden="1" customHeight="1" outlineLevel="1" thickBot="1" x14ac:dyDescent="0.3">
      <c r="A131" s="1416">
        <f t="shared" si="20"/>
        <v>3.12</v>
      </c>
      <c r="B131" s="1412" t="str">
        <f t="shared" si="20"/>
        <v xml:space="preserve">Additional bomb calorimeter </v>
      </c>
      <c r="C131" s="1416" t="str">
        <f t="shared" si="20"/>
        <v>MERC/CAPEX/20122013/00912</v>
      </c>
      <c r="D131" s="1456">
        <f t="shared" si="20"/>
        <v>41114</v>
      </c>
      <c r="E131" s="1414">
        <f t="shared" si="20"/>
        <v>0.44012000000000001</v>
      </c>
      <c r="F131" s="1452">
        <f t="shared" si="11"/>
        <v>0.19</v>
      </c>
      <c r="G131" s="1452">
        <f t="shared" si="12"/>
        <v>0.19</v>
      </c>
      <c r="H131" s="1452">
        <f t="shared" si="13"/>
        <v>0</v>
      </c>
      <c r="I131" s="1452">
        <v>0</v>
      </c>
      <c r="J131" s="1452">
        <v>0</v>
      </c>
      <c r="K131" s="1414"/>
      <c r="L131" s="1414"/>
      <c r="M131" s="1414">
        <f t="shared" si="18"/>
        <v>0</v>
      </c>
      <c r="N131" s="1414">
        <f t="shared" si="15"/>
        <v>0</v>
      </c>
      <c r="O131" s="1453">
        <f t="shared" si="16"/>
        <v>0</v>
      </c>
      <c r="P131" s="1328">
        <f t="shared" si="17"/>
        <v>0</v>
      </c>
    </row>
    <row r="132" spans="1:16" ht="15.5" hidden="1" customHeight="1" outlineLevel="1" thickBot="1" x14ac:dyDescent="0.3">
      <c r="A132" s="1416">
        <f t="shared" si="20"/>
        <v>3.13</v>
      </c>
      <c r="B132" s="1412" t="str">
        <f t="shared" si="20"/>
        <v xml:space="preserve">TGA analysis of the coal for operational optimization. </v>
      </c>
      <c r="C132" s="1416" t="str">
        <f t="shared" si="20"/>
        <v>MERC/CAPEX/20122013/00912</v>
      </c>
      <c r="D132" s="1456">
        <f t="shared" si="20"/>
        <v>41114</v>
      </c>
      <c r="E132" s="1414">
        <f t="shared" si="20"/>
        <v>0.53213999999999995</v>
      </c>
      <c r="F132" s="1452">
        <f t="shared" si="11"/>
        <v>0</v>
      </c>
      <c r="G132" s="1452">
        <f t="shared" si="12"/>
        <v>0</v>
      </c>
      <c r="H132" s="1452">
        <f t="shared" si="13"/>
        <v>0</v>
      </c>
      <c r="I132" s="1452">
        <v>0</v>
      </c>
      <c r="J132" s="1452">
        <v>0</v>
      </c>
      <c r="K132" s="1414"/>
      <c r="L132" s="1414"/>
      <c r="M132" s="1414">
        <f t="shared" si="18"/>
        <v>0</v>
      </c>
      <c r="N132" s="1414">
        <f t="shared" si="15"/>
        <v>0</v>
      </c>
      <c r="O132" s="1453">
        <f t="shared" si="16"/>
        <v>0</v>
      </c>
      <c r="P132" s="1328">
        <f t="shared" si="17"/>
        <v>0</v>
      </c>
    </row>
    <row r="133" spans="1:16" ht="15.5" hidden="1" customHeight="1" outlineLevel="1" thickBot="1" x14ac:dyDescent="0.3">
      <c r="A133" s="1406"/>
      <c r="B133" s="1412" t="str">
        <f t="shared" si="20"/>
        <v>IDC</v>
      </c>
      <c r="C133" s="1416" t="str">
        <f t="shared" si="20"/>
        <v>MERC/CAPEX/20122013/00912</v>
      </c>
      <c r="D133" s="1456">
        <f t="shared" si="20"/>
        <v>41114</v>
      </c>
      <c r="E133" s="1414">
        <f t="shared" si="20"/>
        <v>5.27</v>
      </c>
      <c r="F133" s="1452">
        <f t="shared" si="11"/>
        <v>0</v>
      </c>
      <c r="G133" s="1452">
        <f t="shared" si="12"/>
        <v>0</v>
      </c>
      <c r="H133" s="1452">
        <f t="shared" si="13"/>
        <v>0</v>
      </c>
      <c r="I133" s="1452">
        <v>0</v>
      </c>
      <c r="J133" s="1452">
        <v>0</v>
      </c>
      <c r="K133" s="1414"/>
      <c r="L133" s="1414"/>
      <c r="M133" s="1414">
        <f t="shared" si="18"/>
        <v>0</v>
      </c>
      <c r="N133" s="1414">
        <f t="shared" si="15"/>
        <v>0</v>
      </c>
      <c r="O133" s="1453">
        <f t="shared" si="16"/>
        <v>0</v>
      </c>
      <c r="P133" s="1328">
        <f t="shared" si="17"/>
        <v>0</v>
      </c>
    </row>
    <row r="134" spans="1:16" ht="31" hidden="1" customHeight="1" outlineLevel="1" thickBot="1" x14ac:dyDescent="0.3">
      <c r="A134" s="1406">
        <f>A39</f>
        <v>4</v>
      </c>
      <c r="B134" s="1407" t="str">
        <f t="shared" si="20"/>
        <v>Turbine Auxiliary Performance Improvements</v>
      </c>
      <c r="C134" s="1406" t="str">
        <f t="shared" si="20"/>
        <v>MERC/CAPEX/20122013/02107</v>
      </c>
      <c r="D134" s="1451">
        <f t="shared" si="20"/>
        <v>41281</v>
      </c>
      <c r="E134" s="1452">
        <f t="shared" si="20"/>
        <v>20.108999999999998</v>
      </c>
      <c r="F134" s="1452">
        <f t="shared" si="11"/>
        <v>0</v>
      </c>
      <c r="G134" s="1452">
        <f t="shared" si="12"/>
        <v>0</v>
      </c>
      <c r="H134" s="1452">
        <f t="shared" si="13"/>
        <v>0</v>
      </c>
      <c r="I134" s="1452">
        <v>0</v>
      </c>
      <c r="J134" s="1452">
        <v>0</v>
      </c>
      <c r="K134" s="1452"/>
      <c r="L134" s="1452"/>
      <c r="M134" s="1452">
        <f t="shared" si="18"/>
        <v>0</v>
      </c>
      <c r="N134" s="1452">
        <f t="shared" si="15"/>
        <v>0</v>
      </c>
      <c r="O134" s="1453">
        <f t="shared" si="16"/>
        <v>0</v>
      </c>
      <c r="P134" s="1328">
        <f t="shared" si="17"/>
        <v>0</v>
      </c>
    </row>
    <row r="135" spans="1:16" ht="46.5" hidden="1" customHeight="1" outlineLevel="1" thickBot="1" x14ac:dyDescent="0.3">
      <c r="A135" s="1416">
        <f>A40</f>
        <v>4.0999999999999996</v>
      </c>
      <c r="B135" s="1412" t="str">
        <f t="shared" ref="B135:E150" si="21">B40</f>
        <v>Procurement and installation and commissioning of modified upgraded boiler feed pump (Type -200KHI/S) having energy efficient cartridge for unit 2 &amp; 3 , BTPS.</v>
      </c>
      <c r="C135" s="1416" t="str">
        <f t="shared" si="21"/>
        <v>MERC/CAPEX/20122013/02107</v>
      </c>
      <c r="D135" s="1456">
        <f t="shared" si="21"/>
        <v>41281</v>
      </c>
      <c r="E135" s="1414">
        <f t="shared" si="21"/>
        <v>17.47</v>
      </c>
      <c r="F135" s="1452">
        <f t="shared" si="11"/>
        <v>8.655683800000002</v>
      </c>
      <c r="G135" s="1452">
        <f t="shared" si="12"/>
        <v>8.655683800000002</v>
      </c>
      <c r="H135" s="1452">
        <f t="shared" si="13"/>
        <v>0</v>
      </c>
      <c r="I135" s="1452">
        <v>0</v>
      </c>
      <c r="J135" s="1452">
        <v>0</v>
      </c>
      <c r="K135" s="1414"/>
      <c r="L135" s="1414"/>
      <c r="M135" s="1414">
        <f t="shared" si="18"/>
        <v>0</v>
      </c>
      <c r="N135" s="1414">
        <f t="shared" si="15"/>
        <v>0</v>
      </c>
      <c r="O135" s="1453">
        <f t="shared" si="16"/>
        <v>0</v>
      </c>
      <c r="P135" s="1328">
        <f t="shared" si="17"/>
        <v>0</v>
      </c>
    </row>
    <row r="136" spans="1:16" ht="31" hidden="1" customHeight="1" outlineLevel="1" thickBot="1" x14ac:dyDescent="0.3">
      <c r="A136" s="1416">
        <f>A41</f>
        <v>4.2</v>
      </c>
      <c r="B136" s="1412" t="str">
        <f t="shared" si="21"/>
        <v>Replacement of brine pumps with modified pumps complete with S.S material in new WTP</v>
      </c>
      <c r="C136" s="1416" t="str">
        <f t="shared" si="21"/>
        <v>MERC/CAPEX/20122013/02107</v>
      </c>
      <c r="D136" s="1456">
        <f t="shared" si="21"/>
        <v>41281</v>
      </c>
      <c r="E136" s="1414">
        <f t="shared" si="21"/>
        <v>1.0289999999999999</v>
      </c>
      <c r="F136" s="1452">
        <f t="shared" si="11"/>
        <v>0.30159950000000002</v>
      </c>
      <c r="G136" s="1452">
        <f t="shared" si="12"/>
        <v>0.30159950000000002</v>
      </c>
      <c r="H136" s="1452">
        <f t="shared" si="13"/>
        <v>0</v>
      </c>
      <c r="I136" s="1452">
        <v>0</v>
      </c>
      <c r="J136" s="1452">
        <v>0</v>
      </c>
      <c r="K136" s="1414"/>
      <c r="L136" s="1414"/>
      <c r="M136" s="1414">
        <f t="shared" si="18"/>
        <v>0</v>
      </c>
      <c r="N136" s="1414">
        <f t="shared" si="15"/>
        <v>0</v>
      </c>
      <c r="O136" s="1453">
        <f t="shared" si="16"/>
        <v>0</v>
      </c>
      <c r="P136" s="1328">
        <f t="shared" si="17"/>
        <v>0</v>
      </c>
    </row>
    <row r="137" spans="1:16" ht="15.5" hidden="1" customHeight="1" outlineLevel="1" thickBot="1" x14ac:dyDescent="0.3">
      <c r="A137" s="1406"/>
      <c r="B137" s="1412" t="str">
        <f t="shared" si="21"/>
        <v>IDC</v>
      </c>
      <c r="C137" s="1416" t="str">
        <f t="shared" si="21"/>
        <v>MERC/CAPEX/20122013/02107</v>
      </c>
      <c r="D137" s="1456">
        <f t="shared" si="21"/>
        <v>41281</v>
      </c>
      <c r="E137" s="1414">
        <f t="shared" si="21"/>
        <v>1.61</v>
      </c>
      <c r="F137" s="1452">
        <f t="shared" si="11"/>
        <v>0</v>
      </c>
      <c r="G137" s="1452">
        <f t="shared" si="12"/>
        <v>0</v>
      </c>
      <c r="H137" s="1452">
        <f t="shared" si="13"/>
        <v>0</v>
      </c>
      <c r="I137" s="1452">
        <v>0</v>
      </c>
      <c r="J137" s="1452">
        <v>0</v>
      </c>
      <c r="K137" s="1414"/>
      <c r="L137" s="1414"/>
      <c r="M137" s="1414">
        <f t="shared" si="18"/>
        <v>0</v>
      </c>
      <c r="N137" s="1414">
        <f t="shared" si="15"/>
        <v>0</v>
      </c>
      <c r="O137" s="1453">
        <f t="shared" si="16"/>
        <v>0</v>
      </c>
      <c r="P137" s="1328">
        <f t="shared" si="17"/>
        <v>0</v>
      </c>
    </row>
    <row r="138" spans="1:16" ht="31" hidden="1" customHeight="1" outlineLevel="1" thickBot="1" x14ac:dyDescent="0.3">
      <c r="A138" s="1406">
        <f>A43</f>
        <v>5</v>
      </c>
      <c r="B138" s="1407" t="str">
        <f t="shared" si="21"/>
        <v>Replacement of Platen water wall coils U#2,Super Heater &amp; Platen Super Heater Coils for U#2 and Cold Reheater coils for U#2 &amp; U#3</v>
      </c>
      <c r="C138" s="1406" t="str">
        <f t="shared" si="21"/>
        <v>MERC/TECH-1/CAPEX/20142015/006</v>
      </c>
      <c r="D138" s="1451">
        <f t="shared" si="21"/>
        <v>41928</v>
      </c>
      <c r="E138" s="1452">
        <f t="shared" si="21"/>
        <v>13.692</v>
      </c>
      <c r="F138" s="1452">
        <f t="shared" si="11"/>
        <v>0</v>
      </c>
      <c r="G138" s="1452">
        <f t="shared" si="12"/>
        <v>0</v>
      </c>
      <c r="H138" s="1452">
        <f t="shared" si="13"/>
        <v>0</v>
      </c>
      <c r="I138" s="1452">
        <v>0</v>
      </c>
      <c r="J138" s="1452">
        <v>0</v>
      </c>
      <c r="K138" s="1452"/>
      <c r="L138" s="1452"/>
      <c r="M138" s="1452">
        <f t="shared" si="18"/>
        <v>0</v>
      </c>
      <c r="N138" s="1452">
        <f t="shared" si="15"/>
        <v>0</v>
      </c>
      <c r="O138" s="1453">
        <f t="shared" si="16"/>
        <v>0</v>
      </c>
      <c r="P138" s="1328">
        <f t="shared" si="17"/>
        <v>0</v>
      </c>
    </row>
    <row r="139" spans="1:16" ht="31" hidden="1" customHeight="1" outlineLevel="1" thickBot="1" x14ac:dyDescent="0.3">
      <c r="A139" s="1416">
        <f>A44</f>
        <v>5.0999999999999996</v>
      </c>
      <c r="B139" s="1419" t="str">
        <f t="shared" si="21"/>
        <v>Supply &amp; Erection of Platen Water wall coils Assembly from inlet header to outlet header in pent house for Unit No 2</v>
      </c>
      <c r="C139" s="1416" t="str">
        <f t="shared" si="21"/>
        <v>MERC/TECH-1/CAPEX/20142015/006</v>
      </c>
      <c r="D139" s="1456">
        <f t="shared" si="21"/>
        <v>41928</v>
      </c>
      <c r="E139" s="1414">
        <f t="shared" si="21"/>
        <v>1.1040000000000001</v>
      </c>
      <c r="F139" s="1452">
        <f t="shared" si="11"/>
        <v>0.54</v>
      </c>
      <c r="G139" s="1452">
        <f t="shared" si="12"/>
        <v>0.54</v>
      </c>
      <c r="H139" s="1452">
        <f t="shared" si="13"/>
        <v>0</v>
      </c>
      <c r="I139" s="1452">
        <v>0</v>
      </c>
      <c r="J139" s="1452">
        <v>0</v>
      </c>
      <c r="K139" s="1414"/>
      <c r="L139" s="1414"/>
      <c r="M139" s="1414">
        <f t="shared" si="18"/>
        <v>0</v>
      </c>
      <c r="N139" s="1414">
        <f t="shared" si="15"/>
        <v>0</v>
      </c>
      <c r="O139" s="1453">
        <f t="shared" si="16"/>
        <v>0</v>
      </c>
      <c r="P139" s="1328">
        <f t="shared" si="17"/>
        <v>0</v>
      </c>
    </row>
    <row r="140" spans="1:16" ht="62" hidden="1" customHeight="1" outlineLevel="1" thickBot="1" x14ac:dyDescent="0.3">
      <c r="A140" s="1416">
        <f>A45</f>
        <v>5.2</v>
      </c>
      <c r="B140" s="1419" t="str">
        <f t="shared" si="21"/>
        <v>Complete Supply &amp; Erection of Super Heater Radiant Roof Panel Tube  with Attachment  for Unit No 2 Boiler From front side of Boiler to rear side of boiler &amp; Vertical Platen Super Heater coils Assembly for Unit No 2, 210 MW Boiler.</v>
      </c>
      <c r="C140" s="1416" t="str">
        <f t="shared" si="21"/>
        <v>MERC/TECH-1/CAPEX/20142015/006</v>
      </c>
      <c r="D140" s="1456">
        <f t="shared" si="21"/>
        <v>41928</v>
      </c>
      <c r="E140" s="1414">
        <f t="shared" si="21"/>
        <v>5.4770000000000003</v>
      </c>
      <c r="F140" s="1452">
        <f t="shared" si="11"/>
        <v>5.4649043000000006</v>
      </c>
      <c r="G140" s="1452">
        <f t="shared" si="12"/>
        <v>5.4649043000000006</v>
      </c>
      <c r="H140" s="1452">
        <f t="shared" si="13"/>
        <v>0</v>
      </c>
      <c r="I140" s="1452">
        <v>0</v>
      </c>
      <c r="J140" s="1452">
        <v>0</v>
      </c>
      <c r="K140" s="1414"/>
      <c r="L140" s="1414"/>
      <c r="M140" s="1414">
        <f t="shared" si="18"/>
        <v>0</v>
      </c>
      <c r="N140" s="1414">
        <f t="shared" si="15"/>
        <v>0</v>
      </c>
      <c r="O140" s="1453">
        <f t="shared" si="16"/>
        <v>0</v>
      </c>
      <c r="P140" s="1328">
        <f t="shared" si="17"/>
        <v>0</v>
      </c>
    </row>
    <row r="141" spans="1:16" ht="62" hidden="1" customHeight="1" outlineLevel="1" thickBot="1" x14ac:dyDescent="0.3">
      <c r="A141" s="1416">
        <f>A46</f>
        <v>5.3</v>
      </c>
      <c r="B141" s="1419" t="str">
        <f t="shared" si="21"/>
        <v>Supply &amp; Erection of Reheater front Pendent Assembly consisting Full set of Cold Reheater coil assembly For Unit No 2 with necessary attachments, Crown Plate. Heat shield, roof seal bend, steam cooled spacer tube with necessary attachment.</v>
      </c>
      <c r="C141" s="1416" t="str">
        <f t="shared" si="21"/>
        <v>MERC/TECH-1/CAPEX/20142015/006</v>
      </c>
      <c r="D141" s="1456">
        <f t="shared" si="21"/>
        <v>41928</v>
      </c>
      <c r="E141" s="1414">
        <f t="shared" si="21"/>
        <v>2.7109999999999999</v>
      </c>
      <c r="F141" s="1452">
        <f t="shared" si="11"/>
        <v>2.6624558</v>
      </c>
      <c r="G141" s="1452">
        <f t="shared" si="12"/>
        <v>2.6624558</v>
      </c>
      <c r="H141" s="1452">
        <f t="shared" si="13"/>
        <v>0</v>
      </c>
      <c r="I141" s="1452">
        <v>0</v>
      </c>
      <c r="J141" s="1452">
        <v>0</v>
      </c>
      <c r="K141" s="1414"/>
      <c r="L141" s="1414"/>
      <c r="M141" s="1414">
        <f t="shared" si="18"/>
        <v>0</v>
      </c>
      <c r="N141" s="1414">
        <f t="shared" si="15"/>
        <v>0</v>
      </c>
      <c r="O141" s="1453">
        <f t="shared" si="16"/>
        <v>0</v>
      </c>
      <c r="P141" s="1328">
        <f t="shared" si="17"/>
        <v>0</v>
      </c>
    </row>
    <row r="142" spans="1:16" ht="62" hidden="1" customHeight="1" outlineLevel="1" thickBot="1" x14ac:dyDescent="0.3">
      <c r="A142" s="1416">
        <f>A47</f>
        <v>5.4</v>
      </c>
      <c r="B142" s="1419" t="str">
        <f t="shared" si="21"/>
        <v>Supply &amp; Erection of Reheater front Pendent Assembly consisting Full set of Cold Reheater coil assembly For Unit No 3 with necessary attachments, Crown Plate. Heat shield, roof seal bend, steam cooled spacer tube with necessary attachment.</v>
      </c>
      <c r="C142" s="1416" t="str">
        <f t="shared" si="21"/>
        <v>MERC/TECH-1/CAPEX/20142015/006</v>
      </c>
      <c r="D142" s="1456">
        <f t="shared" si="21"/>
        <v>41928</v>
      </c>
      <c r="E142" s="1414">
        <f t="shared" si="21"/>
        <v>2.7109999999999999</v>
      </c>
      <c r="F142" s="1452">
        <f t="shared" si="11"/>
        <v>2.3531</v>
      </c>
      <c r="G142" s="1452">
        <f t="shared" si="12"/>
        <v>2.3531</v>
      </c>
      <c r="H142" s="1452">
        <f t="shared" si="13"/>
        <v>0</v>
      </c>
      <c r="I142" s="1452">
        <v>0</v>
      </c>
      <c r="J142" s="1452">
        <v>0</v>
      </c>
      <c r="K142" s="1414"/>
      <c r="L142" s="1414"/>
      <c r="M142" s="1414">
        <f t="shared" si="18"/>
        <v>0</v>
      </c>
      <c r="N142" s="1414">
        <f t="shared" si="15"/>
        <v>0</v>
      </c>
      <c r="O142" s="1453">
        <f t="shared" si="16"/>
        <v>0</v>
      </c>
      <c r="P142" s="1328">
        <f t="shared" si="17"/>
        <v>0</v>
      </c>
    </row>
    <row r="143" spans="1:16" ht="31" hidden="1" customHeight="1" outlineLevel="1" thickBot="1" x14ac:dyDescent="0.3">
      <c r="A143" s="1406"/>
      <c r="B143" s="1419" t="str">
        <f t="shared" si="21"/>
        <v>IDC</v>
      </c>
      <c r="C143" s="1416" t="str">
        <f t="shared" si="21"/>
        <v>MERC/TECH-1/CAPEX/20142015/006</v>
      </c>
      <c r="D143" s="1456">
        <f t="shared" si="21"/>
        <v>41928</v>
      </c>
      <c r="E143" s="1414">
        <f t="shared" si="21"/>
        <v>1.6890000000000001</v>
      </c>
      <c r="F143" s="1452">
        <f t="shared" si="11"/>
        <v>0</v>
      </c>
      <c r="G143" s="1452">
        <f t="shared" si="12"/>
        <v>0</v>
      </c>
      <c r="H143" s="1452">
        <f t="shared" si="13"/>
        <v>0</v>
      </c>
      <c r="I143" s="1452">
        <v>0</v>
      </c>
      <c r="J143" s="1452">
        <v>0</v>
      </c>
      <c r="K143" s="1414"/>
      <c r="L143" s="1414"/>
      <c r="M143" s="1414">
        <f t="shared" si="18"/>
        <v>0</v>
      </c>
      <c r="N143" s="1414">
        <f t="shared" si="15"/>
        <v>0</v>
      </c>
      <c r="O143" s="1453">
        <f t="shared" si="16"/>
        <v>0</v>
      </c>
      <c r="P143" s="1328">
        <f t="shared" si="17"/>
        <v>0</v>
      </c>
    </row>
    <row r="144" spans="1:16" ht="46.5" hidden="1" customHeight="1" outlineLevel="1" thickBot="1" x14ac:dyDescent="0.3">
      <c r="A144" s="1406">
        <f>A49</f>
        <v>6</v>
      </c>
      <c r="B144" s="1407" t="str">
        <f t="shared" si="21"/>
        <v>Boiler Process Improvement by replacement of damaged valves and Boiler Perfm Imp by Air Pre-Heater Up gradation of U#2 &amp; U#3 at BTPS</v>
      </c>
      <c r="C144" s="1406" t="str">
        <f t="shared" si="21"/>
        <v>MERC/Tech-1/CAPEX /2014-15/00433</v>
      </c>
      <c r="D144" s="1451">
        <f t="shared" si="21"/>
        <v>41792</v>
      </c>
      <c r="E144" s="1452">
        <f t="shared" si="21"/>
        <v>17.369999999999997</v>
      </c>
      <c r="F144" s="1452">
        <f t="shared" si="11"/>
        <v>0</v>
      </c>
      <c r="G144" s="1452">
        <f t="shared" si="12"/>
        <v>0</v>
      </c>
      <c r="H144" s="1452">
        <f t="shared" si="13"/>
        <v>0</v>
      </c>
      <c r="I144" s="1452">
        <v>0</v>
      </c>
      <c r="J144" s="1452">
        <v>0</v>
      </c>
      <c r="K144" s="1452"/>
      <c r="L144" s="1452"/>
      <c r="M144" s="1452">
        <f t="shared" si="18"/>
        <v>0</v>
      </c>
      <c r="N144" s="1452">
        <f t="shared" si="15"/>
        <v>0</v>
      </c>
      <c r="O144" s="1453">
        <f t="shared" si="16"/>
        <v>0</v>
      </c>
      <c r="P144" s="1328">
        <f t="shared" si="17"/>
        <v>0</v>
      </c>
    </row>
    <row r="145" spans="1:16" ht="31" hidden="1" customHeight="1" outlineLevel="1" thickBot="1" x14ac:dyDescent="0.3">
      <c r="A145" s="1411">
        <f>A50</f>
        <v>6.1</v>
      </c>
      <c r="B145" s="1419" t="str">
        <f t="shared" si="21"/>
        <v>Replacement of boiler outlet valves and damaged valves of units 2 &amp; 3</v>
      </c>
      <c r="C145" s="1411" t="str">
        <f t="shared" si="21"/>
        <v>MERC/Tech-1/CAPEX /2014-15/00433</v>
      </c>
      <c r="D145" s="1454">
        <f t="shared" si="21"/>
        <v>41792</v>
      </c>
      <c r="E145" s="1414">
        <f t="shared" si="21"/>
        <v>2.62</v>
      </c>
      <c r="F145" s="1452">
        <f t="shared" si="11"/>
        <v>1.3984000000000001</v>
      </c>
      <c r="G145" s="1452">
        <f t="shared" si="12"/>
        <v>1.3984000000000001</v>
      </c>
      <c r="H145" s="1452">
        <f t="shared" si="13"/>
        <v>0</v>
      </c>
      <c r="I145" s="1452">
        <v>0</v>
      </c>
      <c r="J145" s="1452">
        <v>0</v>
      </c>
      <c r="K145" s="1414"/>
      <c r="L145" s="1414"/>
      <c r="M145" s="1414">
        <f t="shared" si="18"/>
        <v>0</v>
      </c>
      <c r="N145" s="1414">
        <f t="shared" si="15"/>
        <v>0</v>
      </c>
      <c r="O145" s="1453">
        <f t="shared" si="16"/>
        <v>0</v>
      </c>
      <c r="P145" s="1328">
        <f t="shared" si="17"/>
        <v>0</v>
      </c>
    </row>
    <row r="146" spans="1:16" ht="31" hidden="1" customHeight="1" outlineLevel="1" thickBot="1" x14ac:dyDescent="0.3">
      <c r="A146" s="1411">
        <f>A51</f>
        <v>6.2</v>
      </c>
      <c r="B146" s="1419" t="str">
        <f t="shared" si="21"/>
        <v>Air pre heater up gradation of heat exchanger matrix &amp; regenerative dynamic sealing of units 2 &amp; 3</v>
      </c>
      <c r="C146" s="1411" t="str">
        <f t="shared" si="21"/>
        <v>MERC/Tech-1/CAPEX /2014-15/00433</v>
      </c>
      <c r="D146" s="1454">
        <f t="shared" si="21"/>
        <v>41792</v>
      </c>
      <c r="E146" s="1414">
        <f t="shared" si="21"/>
        <v>13.404999999999999</v>
      </c>
      <c r="F146" s="1452">
        <f t="shared" si="11"/>
        <v>1.2086276</v>
      </c>
      <c r="G146" s="1452">
        <f t="shared" si="12"/>
        <v>1.2086276</v>
      </c>
      <c r="H146" s="1452">
        <f t="shared" si="13"/>
        <v>0</v>
      </c>
      <c r="I146" s="1452">
        <v>0</v>
      </c>
      <c r="J146" s="1452">
        <v>0</v>
      </c>
      <c r="K146" s="1414"/>
      <c r="L146" s="1414"/>
      <c r="M146" s="1414">
        <f t="shared" si="18"/>
        <v>0</v>
      </c>
      <c r="N146" s="1414">
        <f t="shared" si="15"/>
        <v>0</v>
      </c>
      <c r="O146" s="1453">
        <f t="shared" si="16"/>
        <v>0</v>
      </c>
      <c r="P146" s="1328">
        <f t="shared" si="17"/>
        <v>0</v>
      </c>
    </row>
    <row r="147" spans="1:16" ht="31" hidden="1" customHeight="1" outlineLevel="1" thickBot="1" x14ac:dyDescent="0.3">
      <c r="A147" s="1411"/>
      <c r="B147" s="1419" t="str">
        <f t="shared" si="21"/>
        <v>IDC</v>
      </c>
      <c r="C147" s="1411" t="str">
        <f t="shared" si="21"/>
        <v>MERC/Tech-1/CAPEX /2014-15/00433</v>
      </c>
      <c r="D147" s="1454">
        <f t="shared" si="21"/>
        <v>41792</v>
      </c>
      <c r="E147" s="1414">
        <f t="shared" si="21"/>
        <v>1.345</v>
      </c>
      <c r="F147" s="1452">
        <f t="shared" si="11"/>
        <v>0</v>
      </c>
      <c r="G147" s="1452">
        <f t="shared" si="12"/>
        <v>0</v>
      </c>
      <c r="H147" s="1452">
        <f t="shared" si="13"/>
        <v>0</v>
      </c>
      <c r="I147" s="1452">
        <v>0</v>
      </c>
      <c r="J147" s="1452">
        <v>0</v>
      </c>
      <c r="K147" s="1414"/>
      <c r="L147" s="1414"/>
      <c r="M147" s="1414">
        <f t="shared" si="18"/>
        <v>0</v>
      </c>
      <c r="N147" s="1414">
        <f t="shared" si="15"/>
        <v>0</v>
      </c>
      <c r="O147" s="1453">
        <f t="shared" si="16"/>
        <v>0</v>
      </c>
      <c r="P147" s="1328">
        <f t="shared" si="17"/>
        <v>0</v>
      </c>
    </row>
    <row r="148" spans="1:16" ht="31" hidden="1" customHeight="1" outlineLevel="1" thickBot="1" x14ac:dyDescent="0.3">
      <c r="A148" s="1406">
        <f t="shared" ref="A148:E163" si="22">A53</f>
        <v>8</v>
      </c>
      <c r="B148" s="1407" t="str">
        <f t="shared" si="21"/>
        <v>Stack management by procurement of Bulldozer &amp; LOCO and CHP area schemes for performance &amp; unloading improvement</v>
      </c>
      <c r="C148" s="1406" t="str">
        <f t="shared" si="21"/>
        <v>MERC/CAPEX/20162017/01426</v>
      </c>
      <c r="D148" s="1451">
        <f t="shared" si="21"/>
        <v>42768</v>
      </c>
      <c r="E148" s="1452">
        <f t="shared" si="21"/>
        <v>2.0930578512396689</v>
      </c>
      <c r="F148" s="1452">
        <f t="shared" si="11"/>
        <v>0</v>
      </c>
      <c r="G148" s="1452">
        <f t="shared" si="12"/>
        <v>0</v>
      </c>
      <c r="H148" s="1452">
        <f t="shared" si="13"/>
        <v>0</v>
      </c>
      <c r="I148" s="1452">
        <v>0</v>
      </c>
      <c r="J148" s="1452">
        <v>0</v>
      </c>
      <c r="K148" s="1452"/>
      <c r="L148" s="1452"/>
      <c r="M148" s="1452">
        <f t="shared" si="18"/>
        <v>0</v>
      </c>
      <c r="N148" s="1452">
        <f t="shared" si="15"/>
        <v>0</v>
      </c>
      <c r="O148" s="1453">
        <f t="shared" si="16"/>
        <v>0</v>
      </c>
      <c r="P148" s="1328">
        <f t="shared" si="17"/>
        <v>0</v>
      </c>
    </row>
    <row r="149" spans="1:16" ht="15.5" hidden="1" customHeight="1" outlineLevel="1" thickBot="1" x14ac:dyDescent="0.3">
      <c r="A149" s="1411">
        <f t="shared" si="22"/>
        <v>8.1</v>
      </c>
      <c r="B149" s="1419" t="str">
        <f t="shared" si="21"/>
        <v>Procurement of Locomotive 800 HP (2 No.’s)</v>
      </c>
      <c r="C149" s="1411" t="str">
        <f t="shared" si="21"/>
        <v>MERC/CAPEX/20162017/01426</v>
      </c>
      <c r="D149" s="1454">
        <f t="shared" si="21"/>
        <v>42768</v>
      </c>
      <c r="E149" s="1414">
        <f t="shared" si="21"/>
        <v>1.0395867768595042</v>
      </c>
      <c r="F149" s="1452">
        <f t="shared" si="11"/>
        <v>1.0134768000000001</v>
      </c>
      <c r="G149" s="1452">
        <f t="shared" si="12"/>
        <v>1.0134768000000001</v>
      </c>
      <c r="H149" s="1452">
        <f t="shared" si="13"/>
        <v>0</v>
      </c>
      <c r="I149" s="1452">
        <v>0</v>
      </c>
      <c r="J149" s="1452">
        <v>0</v>
      </c>
      <c r="K149" s="1414"/>
      <c r="L149" s="1414"/>
      <c r="M149" s="1414">
        <f t="shared" si="18"/>
        <v>0</v>
      </c>
      <c r="N149" s="1414">
        <f t="shared" si="15"/>
        <v>0</v>
      </c>
      <c r="O149" s="1453">
        <f t="shared" si="16"/>
        <v>0</v>
      </c>
      <c r="P149" s="1328">
        <f t="shared" si="17"/>
        <v>0</v>
      </c>
    </row>
    <row r="150" spans="1:16" ht="15.5" hidden="1" customHeight="1" outlineLevel="1" thickBot="1" x14ac:dyDescent="0.3">
      <c r="A150" s="1411">
        <f t="shared" si="22"/>
        <v>8.1999999999999993</v>
      </c>
      <c r="B150" s="1419" t="str">
        <f t="shared" si="21"/>
        <v>Procurement of 2 No’s of Bulldozer Model D-155(2 No.’s)</v>
      </c>
      <c r="C150" s="1411" t="str">
        <f t="shared" si="21"/>
        <v>MERC/CAPEX/20162017/01426</v>
      </c>
      <c r="D150" s="1454">
        <f t="shared" si="21"/>
        <v>42768</v>
      </c>
      <c r="E150" s="1414">
        <f t="shared" si="21"/>
        <v>0.5380165289256198</v>
      </c>
      <c r="F150" s="1452">
        <f t="shared" si="11"/>
        <v>0.72968922148760329</v>
      </c>
      <c r="G150" s="1452">
        <f t="shared" si="12"/>
        <v>0.72968922148760329</v>
      </c>
      <c r="H150" s="1452">
        <f t="shared" si="13"/>
        <v>0</v>
      </c>
      <c r="I150" s="1452">
        <v>0</v>
      </c>
      <c r="J150" s="1452">
        <v>0</v>
      </c>
      <c r="K150" s="1414"/>
      <c r="L150" s="1414"/>
      <c r="M150" s="1414">
        <f t="shared" si="18"/>
        <v>0</v>
      </c>
      <c r="N150" s="1414">
        <f t="shared" si="15"/>
        <v>0</v>
      </c>
      <c r="O150" s="1453">
        <f t="shared" si="16"/>
        <v>0</v>
      </c>
      <c r="P150" s="1328">
        <f t="shared" si="17"/>
        <v>0</v>
      </c>
    </row>
    <row r="151" spans="1:16" ht="15.5" hidden="1" customHeight="1" outlineLevel="1" thickBot="1" x14ac:dyDescent="0.3">
      <c r="A151" s="1411">
        <f t="shared" si="22"/>
        <v>8.3000000000000007</v>
      </c>
      <c r="B151" s="1419" t="str">
        <f t="shared" si="22"/>
        <v>Modification below primary crusher chutes 15A/B &amp; Conv.02</v>
      </c>
      <c r="C151" s="1411" t="str">
        <f t="shared" si="22"/>
        <v>MERC/CAPEX/20162017/01426</v>
      </c>
      <c r="D151" s="1454">
        <f t="shared" si="22"/>
        <v>42768</v>
      </c>
      <c r="E151" s="1414">
        <f t="shared" si="22"/>
        <v>9.0247933884297526E-2</v>
      </c>
      <c r="F151" s="1452">
        <f t="shared" si="11"/>
        <v>7.9869421487603301E-2</v>
      </c>
      <c r="G151" s="1452">
        <f t="shared" si="12"/>
        <v>7.9869421487603301E-2</v>
      </c>
      <c r="H151" s="1452">
        <f t="shared" si="13"/>
        <v>0</v>
      </c>
      <c r="I151" s="1452">
        <v>0</v>
      </c>
      <c r="J151" s="1452">
        <v>0</v>
      </c>
      <c r="K151" s="1414"/>
      <c r="L151" s="1414"/>
      <c r="M151" s="1414">
        <f t="shared" si="18"/>
        <v>0</v>
      </c>
      <c r="N151" s="1414">
        <f t="shared" si="15"/>
        <v>0</v>
      </c>
      <c r="O151" s="1453">
        <f t="shared" si="16"/>
        <v>0</v>
      </c>
      <c r="P151" s="1328">
        <f t="shared" si="17"/>
        <v>0</v>
      </c>
    </row>
    <row r="152" spans="1:16" ht="15.5" hidden="1" customHeight="1" outlineLevel="1" thickBot="1" x14ac:dyDescent="0.3">
      <c r="A152" s="1411">
        <f t="shared" si="22"/>
        <v>8.4</v>
      </c>
      <c r="B152" s="1419" t="str">
        <f t="shared" si="22"/>
        <v>New helical gear box for various conveyors</v>
      </c>
      <c r="C152" s="1411" t="str">
        <f t="shared" si="22"/>
        <v>MERC/CAPEX/20162017/01426</v>
      </c>
      <c r="D152" s="1454">
        <f t="shared" si="22"/>
        <v>42768</v>
      </c>
      <c r="E152" s="1414">
        <f t="shared" si="22"/>
        <v>0.16661157024793388</v>
      </c>
      <c r="F152" s="1452">
        <f t="shared" si="11"/>
        <v>0</v>
      </c>
      <c r="G152" s="1452">
        <f t="shared" si="12"/>
        <v>0</v>
      </c>
      <c r="H152" s="1452">
        <f t="shared" si="13"/>
        <v>0</v>
      </c>
      <c r="I152" s="1452">
        <v>0</v>
      </c>
      <c r="J152" s="1452">
        <v>0</v>
      </c>
      <c r="K152" s="1414"/>
      <c r="L152" s="1414"/>
      <c r="M152" s="1414">
        <f t="shared" si="18"/>
        <v>0</v>
      </c>
      <c r="N152" s="1414">
        <f t="shared" si="15"/>
        <v>0</v>
      </c>
      <c r="O152" s="1453">
        <f t="shared" si="16"/>
        <v>0</v>
      </c>
      <c r="P152" s="1328">
        <f t="shared" si="17"/>
        <v>0</v>
      </c>
    </row>
    <row r="153" spans="1:16" ht="15.5" hidden="1" customHeight="1" outlineLevel="1" thickBot="1" x14ac:dyDescent="0.3">
      <c r="A153" s="1411">
        <f t="shared" si="22"/>
        <v>8.5</v>
      </c>
      <c r="B153" s="1419" t="str">
        <f t="shared" si="22"/>
        <v xml:space="preserve">Procurement of Elecon Make Ring Granulator Type TK-09-38B </v>
      </c>
      <c r="C153" s="1411" t="str">
        <f t="shared" si="22"/>
        <v>MERC/CAPEX/20162017/01426</v>
      </c>
      <c r="D153" s="1454">
        <f t="shared" si="22"/>
        <v>42768</v>
      </c>
      <c r="E153" s="1414">
        <f t="shared" si="22"/>
        <v>0.11280991735537189</v>
      </c>
      <c r="F153" s="1452">
        <f t="shared" si="11"/>
        <v>0</v>
      </c>
      <c r="G153" s="1452">
        <f t="shared" si="12"/>
        <v>0</v>
      </c>
      <c r="H153" s="1452">
        <f t="shared" si="13"/>
        <v>0</v>
      </c>
      <c r="I153" s="1452">
        <v>0</v>
      </c>
      <c r="J153" s="1452">
        <v>0</v>
      </c>
      <c r="K153" s="1414"/>
      <c r="L153" s="1414"/>
      <c r="M153" s="1414">
        <f t="shared" si="18"/>
        <v>0</v>
      </c>
      <c r="N153" s="1414">
        <f t="shared" si="15"/>
        <v>0</v>
      </c>
      <c r="O153" s="1453">
        <f t="shared" si="16"/>
        <v>0</v>
      </c>
      <c r="P153" s="1328">
        <f t="shared" si="17"/>
        <v>0</v>
      </c>
    </row>
    <row r="154" spans="1:16" ht="31" hidden="1" customHeight="1" outlineLevel="1" thickBot="1" x14ac:dyDescent="0.3">
      <c r="A154" s="1411">
        <f t="shared" si="22"/>
        <v>8.6</v>
      </c>
      <c r="B154" s="1419" t="str">
        <f t="shared" si="22"/>
        <v>Procurement of Elecon Make Ring Granulator Type TK6 32B Ring Granulator</v>
      </c>
      <c r="C154" s="1411" t="str">
        <f t="shared" si="22"/>
        <v>MERC/CAPEX/20162017/01426</v>
      </c>
      <c r="D154" s="1454">
        <f t="shared" si="22"/>
        <v>42768</v>
      </c>
      <c r="E154" s="1414">
        <f t="shared" si="22"/>
        <v>7.1157024793388424E-2</v>
      </c>
      <c r="F154" s="1452">
        <f t="shared" si="11"/>
        <v>0</v>
      </c>
      <c r="G154" s="1452">
        <f t="shared" si="12"/>
        <v>0</v>
      </c>
      <c r="H154" s="1452">
        <f t="shared" si="13"/>
        <v>0</v>
      </c>
      <c r="I154" s="1452">
        <v>0</v>
      </c>
      <c r="J154" s="1452">
        <v>0</v>
      </c>
      <c r="K154" s="1414"/>
      <c r="L154" s="1414"/>
      <c r="M154" s="1414">
        <f t="shared" si="18"/>
        <v>0</v>
      </c>
      <c r="N154" s="1414">
        <f t="shared" si="15"/>
        <v>0</v>
      </c>
      <c r="O154" s="1453">
        <f t="shared" si="16"/>
        <v>0</v>
      </c>
      <c r="P154" s="1328">
        <f t="shared" si="17"/>
        <v>0</v>
      </c>
    </row>
    <row r="155" spans="1:16" ht="15.5" hidden="1" customHeight="1" outlineLevel="1" thickBot="1" x14ac:dyDescent="0.3">
      <c r="A155" s="1411"/>
      <c r="B155" s="1419" t="str">
        <f t="shared" si="22"/>
        <v>IDC</v>
      </c>
      <c r="C155" s="1411" t="str">
        <f t="shared" si="22"/>
        <v>MERC/CAPEX/20162017/01426</v>
      </c>
      <c r="D155" s="1454">
        <f t="shared" si="22"/>
        <v>42768</v>
      </c>
      <c r="E155" s="1414">
        <f t="shared" si="22"/>
        <v>7.4628099173553716E-2</v>
      </c>
      <c r="F155" s="1452">
        <f t="shared" si="11"/>
        <v>0</v>
      </c>
      <c r="G155" s="1452">
        <f t="shared" si="12"/>
        <v>0</v>
      </c>
      <c r="H155" s="1452">
        <f t="shared" si="13"/>
        <v>0</v>
      </c>
      <c r="I155" s="1452">
        <v>0</v>
      </c>
      <c r="J155" s="1452">
        <v>0</v>
      </c>
      <c r="K155" s="1414"/>
      <c r="L155" s="1414"/>
      <c r="M155" s="1414">
        <f t="shared" si="18"/>
        <v>0</v>
      </c>
      <c r="N155" s="1414">
        <f t="shared" si="15"/>
        <v>0</v>
      </c>
      <c r="O155" s="1453">
        <f t="shared" si="16"/>
        <v>0</v>
      </c>
      <c r="P155" s="1328">
        <f t="shared" si="17"/>
        <v>0</v>
      </c>
    </row>
    <row r="156" spans="1:16" ht="46.5" hidden="1" customHeight="1" outlineLevel="1" thickBot="1" x14ac:dyDescent="0.3">
      <c r="A156" s="1406">
        <f>A61</f>
        <v>14</v>
      </c>
      <c r="B156" s="1407" t="str">
        <f t="shared" si="22"/>
        <v>Upgradation of Symphony Harmony DCS, 220V 1285 AH Battery &amp; Charger and Replacement of 6.6 kV HT MOCB by VCB at BTPS, Bhusawal</v>
      </c>
      <c r="C156" s="1406" t="str">
        <f t="shared" si="22"/>
        <v>MERC/CAPEX/2019-2020/915</v>
      </c>
      <c r="D156" s="1451">
        <f t="shared" si="22"/>
        <v>43760</v>
      </c>
      <c r="E156" s="1452">
        <f t="shared" si="22"/>
        <v>13.72861</v>
      </c>
      <c r="F156" s="1452">
        <f t="shared" si="11"/>
        <v>0</v>
      </c>
      <c r="G156" s="1452">
        <f t="shared" si="12"/>
        <v>0</v>
      </c>
      <c r="H156" s="1452">
        <f t="shared" si="13"/>
        <v>0</v>
      </c>
      <c r="I156" s="1452">
        <v>0</v>
      </c>
      <c r="J156" s="1452">
        <v>0</v>
      </c>
      <c r="K156" s="1452"/>
      <c r="L156" s="1452"/>
      <c r="M156" s="1452">
        <f t="shared" si="18"/>
        <v>0</v>
      </c>
      <c r="N156" s="1452">
        <f t="shared" si="15"/>
        <v>0</v>
      </c>
      <c r="O156" s="1453">
        <f t="shared" si="16"/>
        <v>0</v>
      </c>
      <c r="P156" s="1328">
        <f t="shared" si="17"/>
        <v>0</v>
      </c>
    </row>
    <row r="157" spans="1:16" ht="31" hidden="1" customHeight="1" outlineLevel="1" thickBot="1" x14ac:dyDescent="0.3">
      <c r="A157" s="1411">
        <f>A62</f>
        <v>14.1</v>
      </c>
      <c r="B157" s="1419" t="str">
        <f t="shared" si="22"/>
        <v>HMI Up-gradation of Symphony Harmony DCS Unit-3, 210MW, BTPS.</v>
      </c>
      <c r="C157" s="1411" t="str">
        <f t="shared" si="22"/>
        <v>MERC/CAPEX/2019-2020/915</v>
      </c>
      <c r="D157" s="1454">
        <f t="shared" si="22"/>
        <v>43760</v>
      </c>
      <c r="E157" s="1457">
        <f t="shared" si="22"/>
        <v>5.54</v>
      </c>
      <c r="F157" s="1452">
        <f t="shared" si="11"/>
        <v>0</v>
      </c>
      <c r="G157" s="1452">
        <f t="shared" si="12"/>
        <v>0</v>
      </c>
      <c r="H157" s="1452">
        <f t="shared" si="13"/>
        <v>0</v>
      </c>
      <c r="I157" s="1452">
        <v>0</v>
      </c>
      <c r="J157" s="1452">
        <v>0</v>
      </c>
      <c r="K157" s="1457"/>
      <c r="L157" s="1457"/>
      <c r="M157" s="1457">
        <f t="shared" si="18"/>
        <v>0</v>
      </c>
      <c r="N157" s="1457">
        <f t="shared" si="15"/>
        <v>0</v>
      </c>
      <c r="O157" s="1453">
        <f t="shared" si="16"/>
        <v>0</v>
      </c>
      <c r="P157" s="1328">
        <f t="shared" si="17"/>
        <v>0</v>
      </c>
    </row>
    <row r="158" spans="1:16" ht="46.5" hidden="1" customHeight="1" outlineLevel="1" thickBot="1" x14ac:dyDescent="0.3">
      <c r="A158" s="1411">
        <f>A63</f>
        <v>14.2</v>
      </c>
      <c r="B158" s="1419" t="str">
        <f t="shared" si="22"/>
        <v>Supply, erection, commissioning and site testing of Plante 220V DC, 1285 AH, Station Battery Set and charging equipment for 1285 AH Plante battery for Unit 3.</v>
      </c>
      <c r="C158" s="1411" t="str">
        <f t="shared" si="22"/>
        <v>MERC/CAPEX/2019-2020/915</v>
      </c>
      <c r="D158" s="1454">
        <f t="shared" si="22"/>
        <v>43760</v>
      </c>
      <c r="E158" s="1457">
        <f t="shared" si="22"/>
        <v>1.71861</v>
      </c>
      <c r="F158" s="1452">
        <f t="shared" si="11"/>
        <v>1.71861</v>
      </c>
      <c r="G158" s="1452">
        <f t="shared" si="12"/>
        <v>1.71861</v>
      </c>
      <c r="H158" s="1452">
        <f t="shared" si="13"/>
        <v>0</v>
      </c>
      <c r="I158" s="1452">
        <v>0</v>
      </c>
      <c r="J158" s="1452">
        <v>0</v>
      </c>
      <c r="K158" s="1457"/>
      <c r="L158" s="1457"/>
      <c r="M158" s="1457">
        <f t="shared" si="18"/>
        <v>0</v>
      </c>
      <c r="N158" s="1457">
        <f t="shared" si="15"/>
        <v>0</v>
      </c>
      <c r="O158" s="1453">
        <f t="shared" si="16"/>
        <v>0</v>
      </c>
      <c r="P158" s="1328">
        <f t="shared" si="17"/>
        <v>0</v>
      </c>
    </row>
    <row r="159" spans="1:16" ht="31" hidden="1" customHeight="1" outlineLevel="1" thickBot="1" x14ac:dyDescent="0.3">
      <c r="A159" s="1411">
        <f>A64</f>
        <v>14.3</v>
      </c>
      <c r="B159" s="1419" t="str">
        <f t="shared" si="22"/>
        <v>Retrofitting of 6.6 kv breakers of unit -3 along without door plant boards by vacuum circuit breakers.</v>
      </c>
      <c r="C159" s="1411" t="str">
        <f t="shared" si="22"/>
        <v>MERC/CAPEX/2019-2020/915</v>
      </c>
      <c r="D159" s="1454">
        <f t="shared" si="22"/>
        <v>43760</v>
      </c>
      <c r="E159" s="1457">
        <f t="shared" si="22"/>
        <v>6.47</v>
      </c>
      <c r="F159" s="1452">
        <f t="shared" si="11"/>
        <v>6.1082700000000001</v>
      </c>
      <c r="G159" s="1452">
        <f t="shared" si="12"/>
        <v>6.1082700000000001</v>
      </c>
      <c r="H159" s="1452">
        <f t="shared" si="13"/>
        <v>0</v>
      </c>
      <c r="I159" s="1452">
        <v>0</v>
      </c>
      <c r="J159" s="1452">
        <v>0</v>
      </c>
      <c r="K159" s="1457"/>
      <c r="L159" s="1457"/>
      <c r="M159" s="1457">
        <f t="shared" si="18"/>
        <v>0</v>
      </c>
      <c r="N159" s="1457">
        <f t="shared" si="15"/>
        <v>0</v>
      </c>
      <c r="O159" s="1453">
        <f t="shared" si="16"/>
        <v>0</v>
      </c>
      <c r="P159" s="1328">
        <f t="shared" si="17"/>
        <v>0</v>
      </c>
    </row>
    <row r="160" spans="1:16" ht="15.5" hidden="1" customHeight="1" outlineLevel="1" thickBot="1" x14ac:dyDescent="0.3">
      <c r="A160" s="1411"/>
      <c r="B160" s="1419" t="str">
        <f t="shared" si="22"/>
        <v>IDC</v>
      </c>
      <c r="C160" s="1411" t="str">
        <f t="shared" si="22"/>
        <v>MERC/CAPEX/2019-2020/915</v>
      </c>
      <c r="D160" s="1454">
        <f t="shared" si="22"/>
        <v>43760</v>
      </c>
      <c r="E160" s="1457">
        <f t="shared" si="22"/>
        <v>0</v>
      </c>
      <c r="F160" s="1452">
        <f t="shared" si="11"/>
        <v>0</v>
      </c>
      <c r="G160" s="1452">
        <f t="shared" si="12"/>
        <v>0</v>
      </c>
      <c r="H160" s="1452">
        <f t="shared" si="13"/>
        <v>0</v>
      </c>
      <c r="I160" s="1452">
        <v>0</v>
      </c>
      <c r="J160" s="1452">
        <v>0</v>
      </c>
      <c r="K160" s="1457"/>
      <c r="L160" s="1457"/>
      <c r="M160" s="1457">
        <f t="shared" si="18"/>
        <v>0</v>
      </c>
      <c r="N160" s="1457">
        <f t="shared" si="15"/>
        <v>0</v>
      </c>
      <c r="O160" s="1453">
        <f t="shared" si="16"/>
        <v>0</v>
      </c>
      <c r="P160" s="1328">
        <f t="shared" si="17"/>
        <v>0</v>
      </c>
    </row>
    <row r="161" spans="1:16" ht="46.5" hidden="1" customHeight="1" outlineLevel="1" thickBot="1" x14ac:dyDescent="0.3">
      <c r="A161" s="1406" t="str">
        <f t="shared" ref="A161:E176" si="23">A66</f>
        <v>HO
DPR-5</v>
      </c>
      <c r="B161" s="1407" t="str">
        <f t="shared" si="22"/>
        <v>Procurement of energy efficient HT motors at Bhusawal TPS, Koradi TPS, Chandrapur TPS, khaperkheda TPS, Parli TPS &amp; Paras TPS as insurance spares</v>
      </c>
      <c r="C161" s="1406" t="str">
        <f t="shared" si="22"/>
        <v>MERC/TECH 1/CAPEX/20142015/01218</v>
      </c>
      <c r="D161" s="1451">
        <f t="shared" si="22"/>
        <v>41968</v>
      </c>
      <c r="E161" s="1452">
        <f t="shared" si="22"/>
        <v>1.91</v>
      </c>
      <c r="F161" s="1452">
        <f t="shared" si="11"/>
        <v>0</v>
      </c>
      <c r="G161" s="1452">
        <f t="shared" si="12"/>
        <v>0</v>
      </c>
      <c r="H161" s="1452">
        <f t="shared" si="13"/>
        <v>0</v>
      </c>
      <c r="I161" s="1452">
        <v>0</v>
      </c>
      <c r="J161" s="1452">
        <v>0</v>
      </c>
      <c r="K161" s="1458"/>
      <c r="L161" s="1458"/>
      <c r="M161" s="1458">
        <f t="shared" si="18"/>
        <v>0</v>
      </c>
      <c r="N161" s="1458">
        <f t="shared" si="15"/>
        <v>0</v>
      </c>
      <c r="O161" s="1453">
        <f t="shared" si="16"/>
        <v>0</v>
      </c>
      <c r="P161" s="1328">
        <f t="shared" si="17"/>
        <v>0</v>
      </c>
    </row>
    <row r="162" spans="1:16" ht="31" hidden="1" customHeight="1" outlineLevel="1" thickBot="1" x14ac:dyDescent="0.4">
      <c r="A162" s="1416" t="str">
        <f t="shared" si="23"/>
        <v>HO
DPR 5.1</v>
      </c>
      <c r="B162" s="1422" t="str">
        <f t="shared" si="22"/>
        <v>Bhusawal: Procurement of HT motors (Coal Mill/CEP/CWP) for U-3</v>
      </c>
      <c r="C162" s="1416" t="str">
        <f t="shared" si="22"/>
        <v>MERC/TECH 1/CAPEX/20142015/01218</v>
      </c>
      <c r="D162" s="1456">
        <f t="shared" si="22"/>
        <v>41968</v>
      </c>
      <c r="E162" s="1455">
        <f t="shared" si="22"/>
        <v>1.91</v>
      </c>
      <c r="F162" s="1452">
        <f t="shared" si="11"/>
        <v>0.69702600000000003</v>
      </c>
      <c r="G162" s="1452">
        <f t="shared" si="12"/>
        <v>0.69702600000000003</v>
      </c>
      <c r="H162" s="1452">
        <f t="shared" si="13"/>
        <v>0</v>
      </c>
      <c r="I162" s="1452">
        <v>0</v>
      </c>
      <c r="J162" s="1452">
        <v>0</v>
      </c>
      <c r="K162" s="1455"/>
      <c r="L162" s="1455"/>
      <c r="M162" s="1455">
        <f t="shared" si="18"/>
        <v>0</v>
      </c>
      <c r="N162" s="1455">
        <f t="shared" si="15"/>
        <v>0</v>
      </c>
      <c r="O162" s="1453">
        <f t="shared" si="16"/>
        <v>0</v>
      </c>
      <c r="P162" s="1328">
        <f t="shared" si="17"/>
        <v>0</v>
      </c>
    </row>
    <row r="163" spans="1:16" ht="46.5" hidden="1" customHeight="1" outlineLevel="1" thickBot="1" x14ac:dyDescent="0.3">
      <c r="A163" s="1406" t="str">
        <f t="shared" si="23"/>
        <v>HO
DPR 6</v>
      </c>
      <c r="B163" s="1407" t="str">
        <f t="shared" si="22"/>
        <v>Supply, Installation, Commissioning and Operation &amp; Maintenance Services of Continuous Ambient Air Quality Monitoring Stations (CAAQMS) at various TPS</v>
      </c>
      <c r="C163" s="1406" t="str">
        <f t="shared" si="22"/>
        <v>MERC/CAPEX/20162017/00423</v>
      </c>
      <c r="D163" s="1451">
        <f t="shared" si="22"/>
        <v>42585</v>
      </c>
      <c r="E163" s="1452">
        <f t="shared" si="22"/>
        <v>1.3257526714285714</v>
      </c>
      <c r="F163" s="1452">
        <f t="shared" si="11"/>
        <v>0</v>
      </c>
      <c r="G163" s="1452">
        <f t="shared" si="12"/>
        <v>0</v>
      </c>
      <c r="H163" s="1452">
        <f t="shared" si="13"/>
        <v>0</v>
      </c>
      <c r="I163" s="1452">
        <v>0</v>
      </c>
      <c r="J163" s="1452">
        <v>0</v>
      </c>
      <c r="K163" s="1458"/>
      <c r="L163" s="1458"/>
      <c r="M163" s="1458">
        <f t="shared" si="18"/>
        <v>0</v>
      </c>
      <c r="N163" s="1458">
        <f t="shared" si="15"/>
        <v>0</v>
      </c>
      <c r="O163" s="1453">
        <f t="shared" si="16"/>
        <v>0</v>
      </c>
      <c r="P163" s="1328">
        <f t="shared" si="17"/>
        <v>0</v>
      </c>
    </row>
    <row r="164" spans="1:16" ht="31" hidden="1" customHeight="1" outlineLevel="1" thickBot="1" x14ac:dyDescent="0.4">
      <c r="A164" s="1416" t="str">
        <f t="shared" si="23"/>
        <v>HO
DPR 6.1</v>
      </c>
      <c r="B164" s="1422" t="str">
        <f t="shared" si="23"/>
        <v>Bhusawal: Unit 2-3 (1 Nos.)</v>
      </c>
      <c r="C164" s="1416" t="str">
        <f t="shared" si="23"/>
        <v>MERC/CAPEX/20162017/00423</v>
      </c>
      <c r="D164" s="1459">
        <f t="shared" si="23"/>
        <v>42585</v>
      </c>
      <c r="E164" s="1455">
        <f t="shared" si="23"/>
        <v>1.3257526714285714</v>
      </c>
      <c r="F164" s="1452">
        <f t="shared" si="11"/>
        <v>0.9383999666666667</v>
      </c>
      <c r="G164" s="1452">
        <f t="shared" si="12"/>
        <v>0.9383999666666667</v>
      </c>
      <c r="H164" s="1452">
        <f t="shared" si="13"/>
        <v>0</v>
      </c>
      <c r="I164" s="1452">
        <v>0</v>
      </c>
      <c r="J164" s="1452">
        <v>0</v>
      </c>
      <c r="K164" s="1455"/>
      <c r="L164" s="1455"/>
      <c r="M164" s="1455">
        <f t="shared" si="18"/>
        <v>0</v>
      </c>
      <c r="N164" s="1455">
        <f t="shared" si="15"/>
        <v>0</v>
      </c>
      <c r="O164" s="1453">
        <f t="shared" si="16"/>
        <v>0</v>
      </c>
      <c r="P164" s="1328">
        <f t="shared" si="17"/>
        <v>0</v>
      </c>
    </row>
    <row r="165" spans="1:16" ht="31" hidden="1" customHeight="1" outlineLevel="1" thickBot="1" x14ac:dyDescent="0.3">
      <c r="A165" s="1406" t="str">
        <f t="shared" si="23"/>
        <v>HO
DPR 7</v>
      </c>
      <c r="B165" s="1407" t="str">
        <f t="shared" si="23"/>
        <v>Installation of Real Time Online Coal-Ash Analyzer at various TPS</v>
      </c>
      <c r="C165" s="1406" t="str">
        <f t="shared" si="23"/>
        <v>MERC/CAPEX/20162017/00774</v>
      </c>
      <c r="D165" s="1451">
        <f t="shared" si="23"/>
        <v>42643</v>
      </c>
      <c r="E165" s="1452">
        <f t="shared" si="23"/>
        <v>0</v>
      </c>
      <c r="F165" s="1452">
        <f t="shared" si="11"/>
        <v>0</v>
      </c>
      <c r="G165" s="1452">
        <f t="shared" si="12"/>
        <v>0</v>
      </c>
      <c r="H165" s="1452">
        <f t="shared" si="13"/>
        <v>0</v>
      </c>
      <c r="I165" s="1452">
        <v>0</v>
      </c>
      <c r="J165" s="1452">
        <v>0</v>
      </c>
      <c r="K165" s="1458"/>
      <c r="L165" s="1458"/>
      <c r="M165" s="1458">
        <f t="shared" si="18"/>
        <v>0</v>
      </c>
      <c r="N165" s="1458">
        <f t="shared" si="15"/>
        <v>0</v>
      </c>
      <c r="O165" s="1453">
        <f t="shared" si="16"/>
        <v>0</v>
      </c>
      <c r="P165" s="1328">
        <f t="shared" si="17"/>
        <v>0</v>
      </c>
    </row>
    <row r="166" spans="1:16" ht="31" hidden="1" customHeight="1" outlineLevel="1" thickBot="1" x14ac:dyDescent="0.4">
      <c r="A166" s="1416" t="str">
        <f t="shared" si="23"/>
        <v>HO
DPR 7.1</v>
      </c>
      <c r="B166" s="1422" t="str">
        <f t="shared" si="23"/>
        <v>Bhusawal: Unit 2-3</v>
      </c>
      <c r="C166" s="1416" t="str">
        <f t="shared" si="23"/>
        <v>MERC/CAPEX/20162017/00774</v>
      </c>
      <c r="D166" s="1459">
        <f t="shared" si="23"/>
        <v>42643</v>
      </c>
      <c r="E166" s="1455">
        <f t="shared" si="23"/>
        <v>0</v>
      </c>
      <c r="F166" s="1452">
        <f t="shared" si="11"/>
        <v>0</v>
      </c>
      <c r="G166" s="1452">
        <f t="shared" si="12"/>
        <v>0</v>
      </c>
      <c r="H166" s="1452">
        <f t="shared" si="13"/>
        <v>0</v>
      </c>
      <c r="I166" s="1452">
        <v>0</v>
      </c>
      <c r="J166" s="1452">
        <v>0</v>
      </c>
      <c r="K166" s="1455"/>
      <c r="L166" s="1455"/>
      <c r="M166" s="1455">
        <f t="shared" si="18"/>
        <v>0</v>
      </c>
      <c r="N166" s="1455">
        <f t="shared" si="15"/>
        <v>0</v>
      </c>
      <c r="O166" s="1453">
        <f t="shared" si="16"/>
        <v>0</v>
      </c>
      <c r="P166" s="1328">
        <f t="shared" si="17"/>
        <v>0</v>
      </c>
    </row>
    <row r="167" spans="1:16" ht="31" hidden="1" customHeight="1" outlineLevel="1" thickBot="1" x14ac:dyDescent="0.3">
      <c r="A167" s="1424" t="str">
        <f t="shared" si="23"/>
        <v>HO
DPR 13</v>
      </c>
      <c r="B167" s="1425" t="str">
        <f t="shared" si="23"/>
        <v>Construction of new Administrative Building for Mahagenco at Vidyut Bhawan, Katol Road, Nagpur</v>
      </c>
      <c r="C167" s="1460" t="str">
        <f t="shared" si="23"/>
        <v>MERC/CAPEX/2021-2022/MSPGCL/063</v>
      </c>
      <c r="D167" s="1461">
        <f t="shared" si="23"/>
        <v>44604</v>
      </c>
      <c r="E167" s="1462">
        <f t="shared" si="23"/>
        <v>57</v>
      </c>
      <c r="F167" s="302">
        <f t="shared" si="11"/>
        <v>0</v>
      </c>
      <c r="G167" s="302">
        <f t="shared" si="12"/>
        <v>0</v>
      </c>
      <c r="H167" s="302">
        <f t="shared" si="13"/>
        <v>0</v>
      </c>
      <c r="I167" s="1462">
        <v>0</v>
      </c>
      <c r="J167" s="1462">
        <v>0</v>
      </c>
      <c r="K167" s="302"/>
      <c r="L167" s="302"/>
      <c r="M167" s="302">
        <f t="shared" ref="M167:M194" si="24">SUM(J167:L167)</f>
        <v>0</v>
      </c>
      <c r="N167" s="302">
        <f t="shared" si="15"/>
        <v>0</v>
      </c>
    </row>
    <row r="168" spans="1:16" ht="46.5" hidden="1" customHeight="1" outlineLevel="1" thickBot="1" x14ac:dyDescent="0.3">
      <c r="A168" s="1430" t="str">
        <f t="shared" si="23"/>
        <v>HO
DPR 13.1</v>
      </c>
      <c r="B168" s="1431" t="str">
        <f t="shared" si="23"/>
        <v>Construction of new Administrative Building for Mahagenco at Vidyut Bhawan, Katol Road, Nagpur</v>
      </c>
      <c r="C168" s="1427" t="str">
        <f t="shared" si="23"/>
        <v>MERC/CAPEX/2021-2022/MSPGCL/063</v>
      </c>
      <c r="D168" s="1464">
        <f t="shared" si="23"/>
        <v>44604</v>
      </c>
      <c r="E168" s="1465">
        <f t="shared" si="23"/>
        <v>54.24</v>
      </c>
      <c r="F168" s="302">
        <f t="shared" si="11"/>
        <v>0</v>
      </c>
      <c r="G168" s="302">
        <f t="shared" si="12"/>
        <v>0</v>
      </c>
      <c r="H168" s="302">
        <f t="shared" si="13"/>
        <v>0</v>
      </c>
      <c r="I168" s="1462">
        <v>0</v>
      </c>
      <c r="J168" s="1462">
        <v>0</v>
      </c>
      <c r="K168" s="302"/>
      <c r="L168" s="302"/>
      <c r="M168" s="302">
        <f t="shared" si="24"/>
        <v>0</v>
      </c>
      <c r="N168" s="302">
        <f t="shared" si="15"/>
        <v>0</v>
      </c>
    </row>
    <row r="169" spans="1:16" ht="31" hidden="1" customHeight="1" outlineLevel="1" thickBot="1" x14ac:dyDescent="0.3">
      <c r="A169" s="1433">
        <f t="shared" si="23"/>
        <v>0</v>
      </c>
      <c r="B169" s="1431" t="str">
        <f t="shared" si="23"/>
        <v>IDC</v>
      </c>
      <c r="C169" s="1427" t="str">
        <f t="shared" si="23"/>
        <v>MERC/CAPEX/2021-2022/MSPGCL/063</v>
      </c>
      <c r="D169" s="1464">
        <f t="shared" si="23"/>
        <v>44604</v>
      </c>
      <c r="E169" s="1465">
        <f t="shared" si="23"/>
        <v>2.76</v>
      </c>
      <c r="F169" s="302">
        <f t="shared" ref="F169:F194" si="25">F74+I74</f>
        <v>0</v>
      </c>
      <c r="G169" s="302">
        <f t="shared" ref="G169:G194" si="26">G74+M74</f>
        <v>0</v>
      </c>
      <c r="H169" s="302">
        <f t="shared" ref="H169:H194" si="27">F169-G169</f>
        <v>0</v>
      </c>
      <c r="I169" s="1462">
        <v>0</v>
      </c>
      <c r="J169" s="1462">
        <v>0</v>
      </c>
      <c r="K169" s="302"/>
      <c r="L169" s="302"/>
      <c r="M169" s="302">
        <f t="shared" si="24"/>
        <v>0</v>
      </c>
      <c r="N169" s="302">
        <f t="shared" ref="N169:N194" si="28">H169+I169-M169</f>
        <v>0</v>
      </c>
    </row>
    <row r="170" spans="1:16" ht="31" hidden="1" customHeight="1" outlineLevel="1" thickBot="1" x14ac:dyDescent="0.3">
      <c r="A170" s="1424" t="str">
        <f t="shared" si="23"/>
        <v>HO
DPR 16</v>
      </c>
      <c r="B170" s="1425" t="str">
        <f t="shared" si="23"/>
        <v>Centralized Monitoring Solution</v>
      </c>
      <c r="C170" s="1460" t="str">
        <f t="shared" si="23"/>
        <v>MERC/CAPEX/MSPGCL/2023-24/0576</v>
      </c>
      <c r="D170" s="1461">
        <f t="shared" si="23"/>
        <v>45232</v>
      </c>
      <c r="E170" s="1462">
        <f t="shared" si="23"/>
        <v>69.308999999999997</v>
      </c>
      <c r="F170" s="302">
        <f t="shared" si="25"/>
        <v>0</v>
      </c>
      <c r="G170" s="302">
        <f t="shared" si="26"/>
        <v>0</v>
      </c>
      <c r="H170" s="302">
        <f t="shared" si="27"/>
        <v>0</v>
      </c>
      <c r="I170" s="1462">
        <v>0</v>
      </c>
      <c r="J170" s="1462">
        <v>0</v>
      </c>
      <c r="K170" s="302"/>
      <c r="L170" s="302"/>
      <c r="M170" s="302">
        <f t="shared" si="24"/>
        <v>0</v>
      </c>
      <c r="N170" s="302">
        <f t="shared" si="28"/>
        <v>0</v>
      </c>
    </row>
    <row r="171" spans="1:16" ht="46.5" hidden="1" customHeight="1" outlineLevel="1" thickBot="1" x14ac:dyDescent="0.3">
      <c r="A171" s="1430" t="str">
        <f t="shared" si="23"/>
        <v>HO
DPR 16.1</v>
      </c>
      <c r="B171" s="1431" t="str">
        <f t="shared" si="23"/>
        <v>Centralized Monitoring Solution</v>
      </c>
      <c r="C171" s="1427" t="str">
        <f t="shared" si="23"/>
        <v>MERC/CAPEX/MSPGCL/2023-24/0576</v>
      </c>
      <c r="D171" s="1464">
        <f t="shared" si="23"/>
        <v>45232</v>
      </c>
      <c r="E171" s="1465">
        <f t="shared" si="23"/>
        <v>66.009</v>
      </c>
      <c r="F171" s="302">
        <f t="shared" si="25"/>
        <v>0</v>
      </c>
      <c r="G171" s="302">
        <f t="shared" si="26"/>
        <v>0</v>
      </c>
      <c r="H171" s="302">
        <f t="shared" si="27"/>
        <v>0</v>
      </c>
      <c r="I171" s="1462">
        <v>0</v>
      </c>
      <c r="J171" s="1462">
        <v>0</v>
      </c>
      <c r="K171" s="302"/>
      <c r="L171" s="302"/>
      <c r="M171" s="302">
        <f t="shared" si="24"/>
        <v>0</v>
      </c>
      <c r="N171" s="302">
        <f t="shared" si="28"/>
        <v>0</v>
      </c>
    </row>
    <row r="172" spans="1:16" ht="31" hidden="1" customHeight="1" outlineLevel="1" thickBot="1" x14ac:dyDescent="0.3">
      <c r="A172" s="1433"/>
      <c r="B172" s="1431" t="str">
        <f t="shared" si="23"/>
        <v>IDC</v>
      </c>
      <c r="C172" s="1427" t="str">
        <f t="shared" si="23"/>
        <v>MERC/CAPEX/MSPGCL/2023-24/0576</v>
      </c>
      <c r="D172" s="1464">
        <f t="shared" si="23"/>
        <v>45232</v>
      </c>
      <c r="E172" s="1465">
        <f t="shared" si="23"/>
        <v>3.3</v>
      </c>
      <c r="F172" s="302">
        <f t="shared" si="25"/>
        <v>0</v>
      </c>
      <c r="G172" s="302">
        <f t="shared" si="26"/>
        <v>0</v>
      </c>
      <c r="H172" s="302">
        <f t="shared" si="27"/>
        <v>0</v>
      </c>
      <c r="I172" s="1462">
        <v>0</v>
      </c>
      <c r="J172" s="1462">
        <v>0</v>
      </c>
      <c r="K172" s="302"/>
      <c r="L172" s="302"/>
      <c r="M172" s="302">
        <f t="shared" si="24"/>
        <v>0</v>
      </c>
      <c r="N172" s="302">
        <f t="shared" si="28"/>
        <v>0</v>
      </c>
    </row>
    <row r="173" spans="1:16" ht="15.5" hidden="1" customHeight="1" outlineLevel="1" thickBot="1" x14ac:dyDescent="0.3">
      <c r="A173" s="1433"/>
      <c r="B173" s="1431">
        <f t="shared" si="23"/>
        <v>0</v>
      </c>
      <c r="C173" s="1427">
        <f t="shared" si="23"/>
        <v>0</v>
      </c>
      <c r="D173" s="1464">
        <f t="shared" si="23"/>
        <v>0</v>
      </c>
      <c r="E173" s="1465">
        <f t="shared" si="23"/>
        <v>0</v>
      </c>
      <c r="F173" s="302">
        <f t="shared" si="25"/>
        <v>0</v>
      </c>
      <c r="G173" s="302">
        <f t="shared" si="26"/>
        <v>0</v>
      </c>
      <c r="H173" s="302">
        <f t="shared" si="27"/>
        <v>0</v>
      </c>
      <c r="I173" s="1462">
        <v>0</v>
      </c>
      <c r="J173" s="1462">
        <v>0</v>
      </c>
      <c r="K173" s="302"/>
      <c r="L173" s="302"/>
      <c r="M173" s="302">
        <f t="shared" si="24"/>
        <v>0</v>
      </c>
      <c r="N173" s="302">
        <f t="shared" si="28"/>
        <v>0</v>
      </c>
    </row>
    <row r="174" spans="1:16" ht="15.5" hidden="1" customHeight="1" outlineLevel="1" thickBot="1" x14ac:dyDescent="0.3">
      <c r="A174" s="1433"/>
      <c r="B174" s="1431">
        <f t="shared" si="23"/>
        <v>0</v>
      </c>
      <c r="C174" s="1427">
        <f t="shared" si="23"/>
        <v>0</v>
      </c>
      <c r="D174" s="1464">
        <f t="shared" si="23"/>
        <v>0</v>
      </c>
      <c r="E174" s="1465">
        <f t="shared" si="23"/>
        <v>0</v>
      </c>
      <c r="F174" s="302">
        <f t="shared" si="25"/>
        <v>0</v>
      </c>
      <c r="G174" s="302">
        <f t="shared" si="26"/>
        <v>0</v>
      </c>
      <c r="H174" s="302">
        <f t="shared" si="27"/>
        <v>0</v>
      </c>
      <c r="I174" s="1462">
        <v>0</v>
      </c>
      <c r="J174" s="1462">
        <v>0</v>
      </c>
      <c r="K174" s="302"/>
      <c r="L174" s="302"/>
      <c r="M174" s="302">
        <f t="shared" si="24"/>
        <v>0</v>
      </c>
      <c r="N174" s="302">
        <f t="shared" si="28"/>
        <v>0</v>
      </c>
    </row>
    <row r="175" spans="1:16" ht="15.5" hidden="1" customHeight="1" outlineLevel="1" thickBot="1" x14ac:dyDescent="0.3">
      <c r="A175" s="1280"/>
      <c r="B175" s="1329" t="str">
        <f t="shared" si="23"/>
        <v>(ii) Submitted to MERC but yet to be approved</v>
      </c>
      <c r="C175" s="1460">
        <f t="shared" si="23"/>
        <v>0</v>
      </c>
      <c r="D175" s="1464">
        <f t="shared" si="23"/>
        <v>0</v>
      </c>
      <c r="E175" s="1465">
        <f t="shared" si="23"/>
        <v>0</v>
      </c>
      <c r="F175" s="302">
        <f t="shared" si="25"/>
        <v>0</v>
      </c>
      <c r="G175" s="302">
        <f t="shared" si="26"/>
        <v>0</v>
      </c>
      <c r="H175" s="302">
        <f t="shared" si="27"/>
        <v>0</v>
      </c>
      <c r="I175" s="1462">
        <v>0</v>
      </c>
      <c r="J175" s="1462">
        <v>0</v>
      </c>
      <c r="K175" s="302"/>
      <c r="L175" s="302"/>
      <c r="M175" s="302">
        <f t="shared" si="24"/>
        <v>0</v>
      </c>
      <c r="N175" s="302">
        <f t="shared" si="28"/>
        <v>0</v>
      </c>
    </row>
    <row r="176" spans="1:16" ht="15.5" hidden="1" customHeight="1" outlineLevel="1" thickBot="1" x14ac:dyDescent="0.3">
      <c r="A176" s="1280"/>
      <c r="B176" s="1282">
        <f t="shared" si="23"/>
        <v>0</v>
      </c>
      <c r="C176" s="1427">
        <f t="shared" si="23"/>
        <v>0</v>
      </c>
      <c r="D176" s="1464">
        <f t="shared" si="23"/>
        <v>0</v>
      </c>
      <c r="E176" s="1465">
        <f t="shared" si="23"/>
        <v>0</v>
      </c>
      <c r="F176" s="302">
        <f t="shared" si="25"/>
        <v>0</v>
      </c>
      <c r="G176" s="302">
        <f t="shared" si="26"/>
        <v>0</v>
      </c>
      <c r="H176" s="302">
        <f t="shared" si="27"/>
        <v>0</v>
      </c>
      <c r="I176" s="1462">
        <v>0</v>
      </c>
      <c r="J176" s="1462">
        <v>0</v>
      </c>
      <c r="K176" s="302"/>
      <c r="L176" s="302"/>
      <c r="M176" s="302">
        <f t="shared" si="24"/>
        <v>0</v>
      </c>
      <c r="N176" s="302">
        <f t="shared" si="28"/>
        <v>0</v>
      </c>
    </row>
    <row r="177" spans="1:14" ht="15.5" hidden="1" customHeight="1" outlineLevel="1" thickBot="1" x14ac:dyDescent="0.3">
      <c r="A177" s="1301"/>
      <c r="B177" s="1329" t="str">
        <f t="shared" ref="B177:E189" si="29">B82</f>
        <v>(iii) Yet to be submitted to MERC</v>
      </c>
      <c r="C177" s="1460">
        <f t="shared" si="29"/>
        <v>0</v>
      </c>
      <c r="D177" s="1464">
        <f t="shared" si="29"/>
        <v>0</v>
      </c>
      <c r="E177" s="1465">
        <f t="shared" si="29"/>
        <v>0</v>
      </c>
      <c r="F177" s="302">
        <f t="shared" si="25"/>
        <v>0</v>
      </c>
      <c r="G177" s="302">
        <f t="shared" si="26"/>
        <v>0</v>
      </c>
      <c r="H177" s="302">
        <f t="shared" si="27"/>
        <v>0</v>
      </c>
      <c r="I177" s="1462">
        <v>0</v>
      </c>
      <c r="J177" s="1462">
        <v>0</v>
      </c>
      <c r="K177" s="302"/>
      <c r="L177" s="302"/>
      <c r="M177" s="302">
        <f t="shared" si="24"/>
        <v>0</v>
      </c>
      <c r="N177" s="302">
        <f t="shared" si="28"/>
        <v>0</v>
      </c>
    </row>
    <row r="178" spans="1:14" ht="18" hidden="1" customHeight="1" outlineLevel="1" thickBot="1" x14ac:dyDescent="0.3">
      <c r="A178" s="1304"/>
      <c r="B178" s="1305" t="str">
        <f t="shared" si="29"/>
        <v>FY 2026-27</v>
      </c>
      <c r="C178" s="1460">
        <f t="shared" si="29"/>
        <v>0</v>
      </c>
      <c r="D178" s="1464">
        <f t="shared" si="29"/>
        <v>0</v>
      </c>
      <c r="E178" s="1465">
        <f t="shared" si="29"/>
        <v>0</v>
      </c>
      <c r="F178" s="302">
        <f t="shared" si="25"/>
        <v>0</v>
      </c>
      <c r="G178" s="302">
        <f t="shared" si="26"/>
        <v>0</v>
      </c>
      <c r="H178" s="302">
        <f t="shared" si="27"/>
        <v>0</v>
      </c>
      <c r="I178" s="1462">
        <v>0</v>
      </c>
      <c r="J178" s="1462">
        <v>0</v>
      </c>
      <c r="K178" s="302"/>
      <c r="L178" s="302"/>
      <c r="M178" s="302">
        <f t="shared" si="24"/>
        <v>0</v>
      </c>
      <c r="N178" s="302">
        <f t="shared" si="28"/>
        <v>0</v>
      </c>
    </row>
    <row r="179" spans="1:14" ht="31" hidden="1" customHeight="1" outlineLevel="1" thickBot="1" x14ac:dyDescent="0.3">
      <c r="A179" s="1308">
        <f>A84</f>
        <v>1</v>
      </c>
      <c r="B179" s="1425" t="str">
        <f t="shared" si="29"/>
        <v>R&amp;M/LE for Identified Thermal units of MSPGCL  of BTPS U-3 (210 MW)</v>
      </c>
      <c r="C179" s="1460">
        <f t="shared" si="29"/>
        <v>0</v>
      </c>
      <c r="D179" s="1464">
        <f t="shared" si="29"/>
        <v>0</v>
      </c>
      <c r="E179" s="1465">
        <f t="shared" si="29"/>
        <v>0</v>
      </c>
      <c r="F179" s="302">
        <f t="shared" si="25"/>
        <v>0</v>
      </c>
      <c r="G179" s="302">
        <f t="shared" si="26"/>
        <v>0</v>
      </c>
      <c r="H179" s="302">
        <f t="shared" si="27"/>
        <v>0</v>
      </c>
      <c r="I179" s="1462">
        <v>0</v>
      </c>
      <c r="J179" s="1462">
        <v>0</v>
      </c>
      <c r="K179" s="302"/>
      <c r="L179" s="302"/>
      <c r="M179" s="302">
        <f t="shared" si="24"/>
        <v>0</v>
      </c>
      <c r="N179" s="302">
        <f t="shared" si="28"/>
        <v>0</v>
      </c>
    </row>
    <row r="180" spans="1:14" ht="31" hidden="1" customHeight="1" outlineLevel="1" thickBot="1" x14ac:dyDescent="0.3">
      <c r="A180" s="1313">
        <f>A85</f>
        <v>1.1000000000000001</v>
      </c>
      <c r="B180" s="1431" t="str">
        <f t="shared" si="29"/>
        <v>R&amp;M/LE for Identified Thermal units of MSPGCL  of BTPS U-3 (210 MW)</v>
      </c>
      <c r="C180" s="1460">
        <f t="shared" si="29"/>
        <v>0</v>
      </c>
      <c r="D180" s="1464">
        <f t="shared" si="29"/>
        <v>0</v>
      </c>
      <c r="E180" s="1465">
        <f t="shared" si="29"/>
        <v>0</v>
      </c>
      <c r="F180" s="302">
        <f t="shared" si="25"/>
        <v>0</v>
      </c>
      <c r="G180" s="302">
        <f t="shared" si="26"/>
        <v>0</v>
      </c>
      <c r="H180" s="302">
        <f t="shared" si="27"/>
        <v>0</v>
      </c>
      <c r="I180" s="1462">
        <v>0</v>
      </c>
      <c r="J180" s="1462">
        <v>0</v>
      </c>
      <c r="K180" s="302"/>
      <c r="L180" s="302"/>
      <c r="M180" s="302">
        <f t="shared" si="24"/>
        <v>0</v>
      </c>
      <c r="N180" s="302">
        <f t="shared" si="28"/>
        <v>0</v>
      </c>
    </row>
    <row r="181" spans="1:14" ht="15.5" hidden="1" customHeight="1" outlineLevel="1" thickBot="1" x14ac:dyDescent="0.35">
      <c r="A181" s="1301"/>
      <c r="B181" s="265">
        <f t="shared" si="29"/>
        <v>0</v>
      </c>
      <c r="C181" s="1460">
        <f t="shared" si="29"/>
        <v>0</v>
      </c>
      <c r="D181" s="1464">
        <f t="shared" si="29"/>
        <v>0</v>
      </c>
      <c r="E181" s="1465">
        <f t="shared" si="29"/>
        <v>0</v>
      </c>
      <c r="F181" s="302">
        <f t="shared" si="25"/>
        <v>0</v>
      </c>
      <c r="G181" s="302">
        <f t="shared" si="26"/>
        <v>0</v>
      </c>
      <c r="H181" s="302">
        <f t="shared" si="27"/>
        <v>0</v>
      </c>
      <c r="I181" s="1462">
        <v>0</v>
      </c>
      <c r="J181" s="1462">
        <v>0</v>
      </c>
      <c r="K181" s="302"/>
      <c r="L181" s="302"/>
      <c r="M181" s="302">
        <f t="shared" si="24"/>
        <v>0</v>
      </c>
      <c r="N181" s="302">
        <f t="shared" si="28"/>
        <v>0</v>
      </c>
    </row>
    <row r="182" spans="1:14" ht="15.5" hidden="1" customHeight="1" outlineLevel="1" thickBot="1" x14ac:dyDescent="0.35">
      <c r="A182" s="1301"/>
      <c r="B182" s="528" t="str">
        <f t="shared" si="29"/>
        <v>B) Non-DPR Schemes</v>
      </c>
      <c r="C182" s="1427">
        <f t="shared" si="29"/>
        <v>0</v>
      </c>
      <c r="D182" s="1464">
        <f t="shared" si="29"/>
        <v>0</v>
      </c>
      <c r="E182" s="1465">
        <f t="shared" si="29"/>
        <v>0</v>
      </c>
      <c r="F182" s="315">
        <f t="shared" si="25"/>
        <v>0</v>
      </c>
      <c r="G182" s="315">
        <f t="shared" si="26"/>
        <v>0</v>
      </c>
      <c r="H182" s="315">
        <f t="shared" si="27"/>
        <v>0</v>
      </c>
      <c r="I182" s="1462">
        <v>0</v>
      </c>
      <c r="J182" s="1462">
        <v>0</v>
      </c>
      <c r="K182" s="315"/>
      <c r="L182" s="315"/>
      <c r="M182" s="315">
        <f t="shared" si="24"/>
        <v>0</v>
      </c>
      <c r="N182" s="315">
        <f t="shared" si="28"/>
        <v>0</v>
      </c>
    </row>
    <row r="183" spans="1:14" ht="28" hidden="1" customHeight="1" outlineLevel="1" thickBot="1" x14ac:dyDescent="0.35">
      <c r="A183" s="1301">
        <f t="shared" ref="A183:E194" si="30">A88</f>
        <v>1</v>
      </c>
      <c r="B183" s="1315" t="str">
        <f t="shared" si="29"/>
        <v>Design, Supply and Installation for capacity enhancement of conveyor No. 08 at CHP210MW, BTPS.</v>
      </c>
      <c r="C183" s="1427">
        <f t="shared" si="29"/>
        <v>0</v>
      </c>
      <c r="D183" s="1464">
        <f t="shared" si="29"/>
        <v>0</v>
      </c>
      <c r="E183" s="1465">
        <f t="shared" si="29"/>
        <v>0</v>
      </c>
      <c r="F183" s="315">
        <f t="shared" si="25"/>
        <v>1.80009</v>
      </c>
      <c r="G183" s="315">
        <f t="shared" si="26"/>
        <v>1.80009</v>
      </c>
      <c r="H183" s="315">
        <f t="shared" si="27"/>
        <v>0</v>
      </c>
      <c r="I183" s="1462">
        <v>0</v>
      </c>
      <c r="J183" s="1462">
        <v>0</v>
      </c>
      <c r="K183" s="315"/>
      <c r="L183" s="315"/>
      <c r="M183" s="315">
        <f t="shared" si="24"/>
        <v>0</v>
      </c>
      <c r="N183" s="315">
        <f t="shared" si="28"/>
        <v>0</v>
      </c>
    </row>
    <row r="184" spans="1:14" ht="15.5" hidden="1" customHeight="1" outlineLevel="1" thickBot="1" x14ac:dyDescent="0.35">
      <c r="A184" s="1301">
        <f t="shared" si="30"/>
        <v>2</v>
      </c>
      <c r="B184" s="265" t="str">
        <f t="shared" si="29"/>
        <v>SPEAKER &amp; PTZ CAMER</v>
      </c>
      <c r="C184" s="1427">
        <f t="shared" si="29"/>
        <v>0</v>
      </c>
      <c r="D184" s="1464">
        <f t="shared" si="29"/>
        <v>0</v>
      </c>
      <c r="E184" s="1465">
        <f t="shared" si="29"/>
        <v>0</v>
      </c>
      <c r="F184" s="315">
        <f t="shared" si="25"/>
        <v>3.1968099999999999E-2</v>
      </c>
      <c r="G184" s="315">
        <f t="shared" si="26"/>
        <v>3.1968099999999999E-2</v>
      </c>
      <c r="H184" s="315">
        <f t="shared" si="27"/>
        <v>0</v>
      </c>
      <c r="I184" s="1462">
        <v>0</v>
      </c>
      <c r="J184" s="1462">
        <v>0</v>
      </c>
      <c r="K184" s="315"/>
      <c r="L184" s="315"/>
      <c r="M184" s="315">
        <f t="shared" si="24"/>
        <v>0</v>
      </c>
      <c r="N184" s="315">
        <f t="shared" si="28"/>
        <v>0</v>
      </c>
    </row>
    <row r="185" spans="1:14" ht="15.5" hidden="1" customHeight="1" outlineLevel="1" thickBot="1" x14ac:dyDescent="0.35">
      <c r="A185" s="1301">
        <f t="shared" si="30"/>
        <v>3</v>
      </c>
      <c r="B185" s="265" t="str">
        <f t="shared" si="29"/>
        <v>50 INCH TV &amp; 2TN AC</v>
      </c>
      <c r="C185" s="1427">
        <f t="shared" si="29"/>
        <v>0</v>
      </c>
      <c r="D185" s="1464">
        <f t="shared" si="29"/>
        <v>0</v>
      </c>
      <c r="E185" s="1465">
        <f t="shared" si="29"/>
        <v>0</v>
      </c>
      <c r="F185" s="315">
        <f t="shared" si="25"/>
        <v>6.4529699999999995E-2</v>
      </c>
      <c r="G185" s="315">
        <f t="shared" si="26"/>
        <v>6.4529699999999995E-2</v>
      </c>
      <c r="H185" s="315">
        <f t="shared" si="27"/>
        <v>0</v>
      </c>
      <c r="I185" s="1462">
        <v>0</v>
      </c>
      <c r="J185" s="1462">
        <v>0</v>
      </c>
      <c r="K185" s="315"/>
      <c r="L185" s="315"/>
      <c r="M185" s="315">
        <f t="shared" si="24"/>
        <v>0</v>
      </c>
      <c r="N185" s="315">
        <f t="shared" si="28"/>
        <v>0</v>
      </c>
    </row>
    <row r="186" spans="1:14" ht="15.5" hidden="1" customHeight="1" outlineLevel="1" thickBot="1" x14ac:dyDescent="0.35">
      <c r="A186" s="1301">
        <f t="shared" si="30"/>
        <v>4</v>
      </c>
      <c r="B186" s="817" t="str">
        <f t="shared" si="29"/>
        <v>Fixtures &amp; Fitting (10801)</v>
      </c>
      <c r="C186" s="1427">
        <f t="shared" si="29"/>
        <v>0</v>
      </c>
      <c r="D186" s="1464">
        <f t="shared" si="29"/>
        <v>0</v>
      </c>
      <c r="E186" s="1465">
        <f t="shared" si="29"/>
        <v>0</v>
      </c>
      <c r="F186" s="315">
        <f t="shared" si="25"/>
        <v>2.2089600000000001E-2</v>
      </c>
      <c r="G186" s="315">
        <f t="shared" si="26"/>
        <v>2.2089600000000001E-2</v>
      </c>
      <c r="H186" s="315">
        <f t="shared" si="27"/>
        <v>0</v>
      </c>
      <c r="I186" s="1462">
        <v>0</v>
      </c>
      <c r="J186" s="1462">
        <v>0</v>
      </c>
      <c r="K186" s="315"/>
      <c r="L186" s="315"/>
      <c r="M186" s="315">
        <f t="shared" si="24"/>
        <v>0</v>
      </c>
      <c r="N186" s="315">
        <f t="shared" si="28"/>
        <v>0</v>
      </c>
    </row>
    <row r="187" spans="1:14" ht="15.5" hidden="1" customHeight="1" outlineLevel="1" thickBot="1" x14ac:dyDescent="0.35">
      <c r="A187" s="1301">
        <f t="shared" si="30"/>
        <v>5</v>
      </c>
      <c r="B187" s="817" t="str">
        <f t="shared" si="29"/>
        <v>Office equpment (10901)</v>
      </c>
      <c r="C187" s="1427">
        <f t="shared" si="29"/>
        <v>0</v>
      </c>
      <c r="D187" s="1464">
        <f t="shared" si="29"/>
        <v>0</v>
      </c>
      <c r="E187" s="1465">
        <f t="shared" si="29"/>
        <v>0</v>
      </c>
      <c r="F187" s="315">
        <f t="shared" si="25"/>
        <v>0.60696666700000002</v>
      </c>
      <c r="G187" s="315">
        <f t="shared" si="26"/>
        <v>0.60696666700000002</v>
      </c>
      <c r="H187" s="315">
        <f t="shared" si="27"/>
        <v>0</v>
      </c>
      <c r="I187" s="1462">
        <v>0</v>
      </c>
      <c r="J187" s="1462">
        <v>0</v>
      </c>
      <c r="K187" s="315"/>
      <c r="L187" s="315"/>
      <c r="M187" s="315">
        <f t="shared" si="24"/>
        <v>0</v>
      </c>
      <c r="N187" s="315">
        <f t="shared" si="28"/>
        <v>0</v>
      </c>
    </row>
    <row r="188" spans="1:14" ht="15.5" hidden="1" customHeight="1" outlineLevel="1" thickBot="1" x14ac:dyDescent="0.35">
      <c r="A188" s="1301">
        <f t="shared" si="30"/>
        <v>6</v>
      </c>
      <c r="B188" s="265" t="str">
        <f t="shared" si="29"/>
        <v>Gearboxes for CHP Elecon Make</v>
      </c>
      <c r="C188" s="1427">
        <f t="shared" si="29"/>
        <v>0</v>
      </c>
      <c r="D188" s="1464">
        <f t="shared" si="29"/>
        <v>0</v>
      </c>
      <c r="E188" s="1465">
        <f t="shared" si="29"/>
        <v>0</v>
      </c>
      <c r="F188" s="315">
        <f t="shared" si="25"/>
        <v>0.345735079</v>
      </c>
      <c r="G188" s="315">
        <f t="shared" si="26"/>
        <v>0.345735079</v>
      </c>
      <c r="H188" s="315">
        <f t="shared" si="27"/>
        <v>0</v>
      </c>
      <c r="I188" s="1462">
        <v>0</v>
      </c>
      <c r="J188" s="1462">
        <v>0</v>
      </c>
      <c r="K188" s="315"/>
      <c r="L188" s="315"/>
      <c r="M188" s="315">
        <f t="shared" si="24"/>
        <v>0</v>
      </c>
      <c r="N188" s="315">
        <f t="shared" si="28"/>
        <v>0</v>
      </c>
    </row>
    <row r="189" spans="1:14" ht="15.5" hidden="1" customHeight="1" outlineLevel="1" thickBot="1" x14ac:dyDescent="0.4">
      <c r="A189" s="1301">
        <f t="shared" si="30"/>
        <v>7</v>
      </c>
      <c r="B189" s="1319" t="str">
        <f t="shared" si="29"/>
        <v>General Assets</v>
      </c>
      <c r="C189" s="1427">
        <f t="shared" si="29"/>
        <v>0</v>
      </c>
      <c r="D189" s="1464">
        <f t="shared" si="29"/>
        <v>0</v>
      </c>
      <c r="E189" s="1465">
        <f t="shared" si="29"/>
        <v>0</v>
      </c>
      <c r="F189" s="315">
        <f t="shared" si="25"/>
        <v>0</v>
      </c>
      <c r="G189" s="315">
        <f t="shared" si="26"/>
        <v>0</v>
      </c>
      <c r="H189" s="315">
        <f t="shared" si="27"/>
        <v>0</v>
      </c>
      <c r="I189" s="1462">
        <v>0</v>
      </c>
      <c r="J189" s="1462">
        <v>0</v>
      </c>
      <c r="K189" s="315"/>
      <c r="L189" s="315"/>
      <c r="M189" s="315">
        <f t="shared" si="24"/>
        <v>0</v>
      </c>
      <c r="N189" s="315">
        <f t="shared" si="28"/>
        <v>0</v>
      </c>
    </row>
    <row r="190" spans="1:14" ht="15.5" hidden="1" customHeight="1" outlineLevel="1" thickBot="1" x14ac:dyDescent="0.4">
      <c r="A190" s="1301">
        <f t="shared" si="30"/>
        <v>8</v>
      </c>
      <c r="B190" s="1319" t="str">
        <f t="shared" si="30"/>
        <v>Furniture &amp; Fixture</v>
      </c>
      <c r="C190" s="1427">
        <f t="shared" si="30"/>
        <v>0</v>
      </c>
      <c r="D190" s="1464">
        <f t="shared" si="30"/>
        <v>0</v>
      </c>
      <c r="E190" s="1465">
        <f t="shared" si="30"/>
        <v>0</v>
      </c>
      <c r="F190" s="315">
        <f t="shared" si="25"/>
        <v>3.4999940000000002E-3</v>
      </c>
      <c r="G190" s="315">
        <f t="shared" si="26"/>
        <v>3.4999940000000002E-3</v>
      </c>
      <c r="H190" s="315">
        <f t="shared" si="27"/>
        <v>0</v>
      </c>
      <c r="I190" s="1462">
        <v>0</v>
      </c>
      <c r="J190" s="1462">
        <v>0</v>
      </c>
      <c r="K190" s="315"/>
      <c r="L190" s="315"/>
      <c r="M190" s="315">
        <f t="shared" si="24"/>
        <v>0</v>
      </c>
      <c r="N190" s="315">
        <f t="shared" si="28"/>
        <v>0</v>
      </c>
    </row>
    <row r="191" spans="1:14" ht="15.5" hidden="1" customHeight="1" outlineLevel="1" thickBot="1" x14ac:dyDescent="0.4">
      <c r="A191" s="1301">
        <f t="shared" si="30"/>
        <v>9</v>
      </c>
      <c r="B191" s="1319" t="str">
        <f t="shared" si="30"/>
        <v xml:space="preserve">Office Equipment </v>
      </c>
      <c r="C191" s="1427">
        <f t="shared" si="30"/>
        <v>0</v>
      </c>
      <c r="D191" s="1464">
        <f t="shared" si="30"/>
        <v>0</v>
      </c>
      <c r="E191" s="1465">
        <f t="shared" si="30"/>
        <v>0</v>
      </c>
      <c r="F191" s="315">
        <f t="shared" si="25"/>
        <v>0.258863014</v>
      </c>
      <c r="G191" s="315">
        <f t="shared" si="26"/>
        <v>0.258863014</v>
      </c>
      <c r="H191" s="315">
        <f t="shared" si="27"/>
        <v>0</v>
      </c>
      <c r="I191" s="1462">
        <v>0</v>
      </c>
      <c r="J191" s="1462">
        <v>0</v>
      </c>
      <c r="K191" s="315"/>
      <c r="L191" s="315"/>
      <c r="M191" s="315">
        <f t="shared" si="24"/>
        <v>0</v>
      </c>
      <c r="N191" s="315">
        <f t="shared" si="28"/>
        <v>0</v>
      </c>
    </row>
    <row r="192" spans="1:14" ht="15.5" hidden="1" customHeight="1" outlineLevel="1" thickBot="1" x14ac:dyDescent="0.4">
      <c r="A192" s="1301">
        <f t="shared" si="30"/>
        <v>10</v>
      </c>
      <c r="B192" s="1319" t="str">
        <f t="shared" si="30"/>
        <v>Furniture &amp; Fixture</v>
      </c>
      <c r="C192" s="1427">
        <f t="shared" si="30"/>
        <v>0</v>
      </c>
      <c r="D192" s="1464">
        <f t="shared" si="30"/>
        <v>0</v>
      </c>
      <c r="E192" s="1465">
        <f t="shared" si="30"/>
        <v>0</v>
      </c>
      <c r="F192" s="315">
        <f t="shared" si="25"/>
        <v>0</v>
      </c>
      <c r="G192" s="315">
        <f t="shared" si="26"/>
        <v>0</v>
      </c>
      <c r="H192" s="315">
        <f t="shared" si="27"/>
        <v>0</v>
      </c>
      <c r="I192" s="1462">
        <v>0.20719743600000001</v>
      </c>
      <c r="J192" s="1462">
        <v>0.20719743600000001</v>
      </c>
      <c r="K192" s="315"/>
      <c r="L192" s="315"/>
      <c r="M192" s="315">
        <f t="shared" si="24"/>
        <v>0.20719743600000001</v>
      </c>
      <c r="N192" s="315">
        <f t="shared" si="28"/>
        <v>0</v>
      </c>
    </row>
    <row r="193" spans="1:16" s="1334" customFormat="1" ht="15.5" hidden="1" customHeight="1" outlineLevel="1" thickBot="1" x14ac:dyDescent="0.4">
      <c r="A193" s="1301">
        <f t="shared" si="30"/>
        <v>11</v>
      </c>
      <c r="B193" s="1319" t="str">
        <f t="shared" si="30"/>
        <v xml:space="preserve">Office Equipment </v>
      </c>
      <c r="C193" s="1427">
        <f t="shared" si="30"/>
        <v>0</v>
      </c>
      <c r="D193" s="1464">
        <f t="shared" si="30"/>
        <v>0</v>
      </c>
      <c r="E193" s="1465">
        <f t="shared" si="30"/>
        <v>0</v>
      </c>
      <c r="F193" s="315">
        <f t="shared" si="25"/>
        <v>0</v>
      </c>
      <c r="G193" s="315">
        <f t="shared" si="26"/>
        <v>0</v>
      </c>
      <c r="H193" s="315">
        <f t="shared" si="27"/>
        <v>0</v>
      </c>
      <c r="I193" s="1462">
        <v>6.3896999999999999E-3</v>
      </c>
      <c r="J193" s="1462">
        <v>6.3896999999999999E-3</v>
      </c>
      <c r="K193" s="315"/>
      <c r="L193" s="315"/>
      <c r="M193" s="315">
        <f t="shared" si="24"/>
        <v>6.3896999999999999E-3</v>
      </c>
      <c r="N193" s="315">
        <f t="shared" si="28"/>
        <v>0</v>
      </c>
    </row>
    <row r="194" spans="1:16" s="1334" customFormat="1" ht="16" hidden="1" outlineLevel="1" thickBot="1" x14ac:dyDescent="0.4">
      <c r="A194" s="1301">
        <f t="shared" si="30"/>
        <v>12</v>
      </c>
      <c r="B194" s="1319" t="str">
        <f t="shared" si="30"/>
        <v>Land</v>
      </c>
      <c r="C194" s="1427">
        <f t="shared" si="30"/>
        <v>0</v>
      </c>
      <c r="D194" s="1464">
        <f t="shared" si="30"/>
        <v>0</v>
      </c>
      <c r="E194" s="1465">
        <f t="shared" si="30"/>
        <v>0</v>
      </c>
      <c r="F194" s="315">
        <f t="shared" si="25"/>
        <v>0</v>
      </c>
      <c r="G194" s="315">
        <f t="shared" si="26"/>
        <v>0</v>
      </c>
      <c r="H194" s="315">
        <f t="shared" si="27"/>
        <v>0</v>
      </c>
      <c r="I194" s="1462">
        <v>0</v>
      </c>
      <c r="J194" s="1462">
        <v>0.19434199999999999</v>
      </c>
      <c r="K194" s="315"/>
      <c r="L194" s="315"/>
      <c r="M194" s="315">
        <f t="shared" si="24"/>
        <v>0.19434199999999999</v>
      </c>
      <c r="N194" s="315">
        <f t="shared" si="28"/>
        <v>-0.19434199999999999</v>
      </c>
    </row>
    <row r="195" spans="1:16" ht="15.5" collapsed="1" thickBot="1" x14ac:dyDescent="0.3">
      <c r="A195" s="1330"/>
      <c r="B195" s="1331" t="str">
        <f>B100</f>
        <v>Total</v>
      </c>
      <c r="C195" s="1332"/>
      <c r="D195" s="1333"/>
      <c r="E195" s="1466"/>
      <c r="F195" s="1466">
        <f>SUM(F105:F194)</f>
        <v>56.619247958641878</v>
      </c>
      <c r="G195" s="1466">
        <f t="shared" ref="G195:N195" si="31">SUM(G105:G194)</f>
        <v>56.619247958641878</v>
      </c>
      <c r="H195" s="1466">
        <f t="shared" si="31"/>
        <v>0</v>
      </c>
      <c r="I195" s="1466">
        <f t="shared" si="31"/>
        <v>0.21358713600000001</v>
      </c>
      <c r="J195" s="1466">
        <f t="shared" si="31"/>
        <v>0.40792913600000003</v>
      </c>
      <c r="K195" s="1466">
        <f t="shared" si="31"/>
        <v>0</v>
      </c>
      <c r="L195" s="1466">
        <f t="shared" si="31"/>
        <v>0</v>
      </c>
      <c r="M195" s="1466">
        <f t="shared" si="31"/>
        <v>0.40792913600000003</v>
      </c>
      <c r="N195" s="1466">
        <f t="shared" si="31"/>
        <v>-0.19434199999999999</v>
      </c>
    </row>
    <row r="197" spans="1:16" ht="14.5" thickBot="1" x14ac:dyDescent="0.3">
      <c r="A197" s="1445"/>
      <c r="B197" s="543" t="s">
        <v>507</v>
      </c>
      <c r="C197" s="1446"/>
      <c r="D197" s="1447"/>
      <c r="E197" s="315"/>
      <c r="F197" s="315"/>
      <c r="G197" s="315"/>
      <c r="H197" s="315"/>
      <c r="I197" s="315"/>
      <c r="J197" s="315"/>
      <c r="K197" s="315"/>
      <c r="L197" s="315"/>
      <c r="M197" s="315"/>
      <c r="N197" s="315"/>
    </row>
    <row r="198" spans="1:16" ht="15" hidden="1" customHeight="1" outlineLevel="1" thickBot="1" x14ac:dyDescent="0.35">
      <c r="A198" s="1280"/>
      <c r="B198" s="1327" t="str">
        <f t="shared" ref="B198:E213" si="32">B103</f>
        <v>a) DPR Schemes</v>
      </c>
      <c r="C198" s="1446"/>
      <c r="D198" s="1447"/>
      <c r="E198" s="315"/>
      <c r="F198" s="315"/>
      <c r="G198" s="315"/>
      <c r="H198" s="315"/>
      <c r="I198" s="315"/>
      <c r="J198" s="315"/>
      <c r="K198" s="315"/>
      <c r="L198" s="315"/>
      <c r="M198" s="315"/>
      <c r="N198" s="315"/>
    </row>
    <row r="199" spans="1:16" ht="14" hidden="1" customHeight="1" outlineLevel="1" thickBot="1" x14ac:dyDescent="0.3">
      <c r="A199" s="1280"/>
      <c r="B199" s="1282" t="str">
        <f t="shared" si="32"/>
        <v>(i) In-principle approved by MERC</v>
      </c>
      <c r="C199" s="1449"/>
      <c r="D199" s="1450"/>
      <c r="E199" s="315"/>
      <c r="F199" s="315"/>
      <c r="G199" s="315"/>
      <c r="H199" s="315"/>
      <c r="I199" s="315"/>
      <c r="J199" s="315"/>
      <c r="K199" s="315"/>
      <c r="L199" s="315"/>
      <c r="M199" s="315"/>
      <c r="N199" s="315"/>
    </row>
    <row r="200" spans="1:16" ht="31" hidden="1" customHeight="1" outlineLevel="1" thickBot="1" x14ac:dyDescent="0.3">
      <c r="A200" s="1406">
        <f>A105</f>
        <v>1</v>
      </c>
      <c r="B200" s="1407" t="str">
        <f t="shared" si="32"/>
        <v>Replacement of economizer &amp; LTSH coils at Unit # 2</v>
      </c>
      <c r="C200" s="1406" t="str">
        <f t="shared" si="32"/>
        <v>MERC/CAPEX/20122013/00179</v>
      </c>
      <c r="D200" s="1451">
        <f t="shared" si="32"/>
        <v>41022</v>
      </c>
      <c r="E200" s="1452">
        <f t="shared" si="32"/>
        <v>10.177999999999999</v>
      </c>
      <c r="F200" s="1452">
        <f t="shared" ref="F200:F263" si="33">F105+I105</f>
        <v>0</v>
      </c>
      <c r="G200" s="1452">
        <f t="shared" ref="G200:G263" si="34">G105+M105</f>
        <v>0</v>
      </c>
      <c r="H200" s="1452">
        <f t="shared" ref="H200:H263" si="35">F200-G200</f>
        <v>0</v>
      </c>
      <c r="I200" s="1452">
        <v>0</v>
      </c>
      <c r="J200" s="1452">
        <v>0</v>
      </c>
      <c r="K200" s="1452"/>
      <c r="L200" s="1452"/>
      <c r="M200" s="1452">
        <f t="shared" ref="M200" si="36">SUM(J200:L200)</f>
        <v>0</v>
      </c>
      <c r="N200" s="1452">
        <f t="shared" ref="N200:N263" si="37">H200+I200-M200</f>
        <v>0</v>
      </c>
      <c r="O200" s="1453">
        <f t="shared" ref="O200:O261" si="38">MAX(0,IF(M200=0,0,IF(G200+M200&lt;E200,M200,E200-G200)))</f>
        <v>0</v>
      </c>
      <c r="P200" s="1328">
        <f t="shared" ref="P200:P261" si="39">M200-O200</f>
        <v>0</v>
      </c>
    </row>
    <row r="201" spans="1:16" ht="15.5" hidden="1" customHeight="1" outlineLevel="1" thickBot="1" x14ac:dyDescent="0.3">
      <c r="A201" s="1411">
        <f>A106</f>
        <v>1.1000000000000001</v>
      </c>
      <c r="B201" s="1412" t="str">
        <f t="shared" si="32"/>
        <v>Replacement of Economiser Coil</v>
      </c>
      <c r="C201" s="1411" t="str">
        <f t="shared" si="32"/>
        <v>MERC/CAPEX/20122013/00179</v>
      </c>
      <c r="D201" s="1454">
        <f t="shared" si="32"/>
        <v>41022</v>
      </c>
      <c r="E201" s="1414">
        <f t="shared" si="32"/>
        <v>3.524</v>
      </c>
      <c r="F201" s="1452">
        <f t="shared" si="33"/>
        <v>3.47</v>
      </c>
      <c r="G201" s="1452">
        <f t="shared" si="34"/>
        <v>3.47</v>
      </c>
      <c r="H201" s="1452">
        <f t="shared" si="35"/>
        <v>0</v>
      </c>
      <c r="I201" s="1452">
        <v>0</v>
      </c>
      <c r="J201" s="1452">
        <v>0</v>
      </c>
      <c r="K201" s="1414"/>
      <c r="L201" s="1414"/>
      <c r="M201" s="1414">
        <f t="shared" ref="M201:M261" si="40">SUM(J201:L201)</f>
        <v>0</v>
      </c>
      <c r="N201" s="1414">
        <f t="shared" si="37"/>
        <v>0</v>
      </c>
      <c r="O201" s="1453">
        <f t="shared" si="38"/>
        <v>0</v>
      </c>
      <c r="P201" s="1328">
        <f t="shared" si="39"/>
        <v>0</v>
      </c>
    </row>
    <row r="202" spans="1:16" ht="15.5" hidden="1" customHeight="1" outlineLevel="1" thickBot="1" x14ac:dyDescent="0.3">
      <c r="A202" s="1411"/>
      <c r="B202" s="1412" t="str">
        <f t="shared" si="32"/>
        <v>IDC</v>
      </c>
      <c r="C202" s="1411" t="str">
        <f t="shared" si="32"/>
        <v>MERC/CAPEX/20122013/00179</v>
      </c>
      <c r="D202" s="1454">
        <f t="shared" si="32"/>
        <v>41022</v>
      </c>
      <c r="E202" s="1414">
        <f t="shared" si="32"/>
        <v>0.20300000000000001</v>
      </c>
      <c r="F202" s="1452">
        <f t="shared" si="33"/>
        <v>0</v>
      </c>
      <c r="G202" s="1452">
        <f t="shared" si="34"/>
        <v>0</v>
      </c>
      <c r="H202" s="1452">
        <f t="shared" si="35"/>
        <v>0</v>
      </c>
      <c r="I202" s="1452">
        <v>0</v>
      </c>
      <c r="J202" s="1452">
        <v>0</v>
      </c>
      <c r="K202" s="1414"/>
      <c r="L202" s="1414"/>
      <c r="M202" s="1414">
        <f t="shared" si="40"/>
        <v>0</v>
      </c>
      <c r="N202" s="1414">
        <f t="shared" si="37"/>
        <v>0</v>
      </c>
      <c r="O202" s="1453">
        <f t="shared" si="38"/>
        <v>0</v>
      </c>
      <c r="P202" s="1328">
        <f t="shared" si="39"/>
        <v>0</v>
      </c>
    </row>
    <row r="203" spans="1:16" ht="15.5" hidden="1" customHeight="1" outlineLevel="1" thickBot="1" x14ac:dyDescent="0.3">
      <c r="A203" s="1411">
        <f>A108</f>
        <v>1.2</v>
      </c>
      <c r="B203" s="1412" t="str">
        <f t="shared" si="32"/>
        <v>Replacement of LTSH Coil</v>
      </c>
      <c r="C203" s="1411" t="str">
        <f t="shared" si="32"/>
        <v>MERC/CAPEX/20122013/00179</v>
      </c>
      <c r="D203" s="1454">
        <f t="shared" si="32"/>
        <v>41022</v>
      </c>
      <c r="E203" s="1414">
        <f t="shared" si="32"/>
        <v>6.0940000000000003</v>
      </c>
      <c r="F203" s="1452">
        <f t="shared" si="33"/>
        <v>5.32</v>
      </c>
      <c r="G203" s="1452">
        <f t="shared" si="34"/>
        <v>5.32</v>
      </c>
      <c r="H203" s="1452">
        <f t="shared" si="35"/>
        <v>0</v>
      </c>
      <c r="I203" s="1452">
        <v>0</v>
      </c>
      <c r="J203" s="1452">
        <v>0</v>
      </c>
      <c r="K203" s="1414"/>
      <c r="L203" s="1414"/>
      <c r="M203" s="1414">
        <f t="shared" si="40"/>
        <v>0</v>
      </c>
      <c r="N203" s="1414">
        <f t="shared" si="37"/>
        <v>0</v>
      </c>
      <c r="O203" s="1453">
        <f t="shared" si="38"/>
        <v>0</v>
      </c>
      <c r="P203" s="1328">
        <f t="shared" si="39"/>
        <v>0</v>
      </c>
    </row>
    <row r="204" spans="1:16" ht="15.5" hidden="1" customHeight="1" outlineLevel="1" thickBot="1" x14ac:dyDescent="0.3">
      <c r="A204" s="1411"/>
      <c r="B204" s="1412" t="str">
        <f t="shared" si="32"/>
        <v>IDC</v>
      </c>
      <c r="C204" s="1411" t="str">
        <f t="shared" si="32"/>
        <v>MERC/CAPEX/20122013/00179</v>
      </c>
      <c r="D204" s="1454">
        <f t="shared" si="32"/>
        <v>41022</v>
      </c>
      <c r="E204" s="1414">
        <f t="shared" si="32"/>
        <v>0.35699999999999998</v>
      </c>
      <c r="F204" s="1452">
        <f t="shared" si="33"/>
        <v>0</v>
      </c>
      <c r="G204" s="1452">
        <f t="shared" si="34"/>
        <v>0</v>
      </c>
      <c r="H204" s="1452">
        <f t="shared" si="35"/>
        <v>0</v>
      </c>
      <c r="I204" s="1452">
        <v>0</v>
      </c>
      <c r="J204" s="1452">
        <v>0</v>
      </c>
      <c r="K204" s="1414"/>
      <c r="L204" s="1414"/>
      <c r="M204" s="1414">
        <f t="shared" si="40"/>
        <v>0</v>
      </c>
      <c r="N204" s="1414">
        <f t="shared" si="37"/>
        <v>0</v>
      </c>
      <c r="O204" s="1453">
        <f t="shared" si="38"/>
        <v>0</v>
      </c>
      <c r="P204" s="1328">
        <f t="shared" si="39"/>
        <v>0</v>
      </c>
    </row>
    <row r="205" spans="1:16" ht="31" hidden="1" customHeight="1" outlineLevel="1" thickBot="1" x14ac:dyDescent="0.3">
      <c r="A205" s="1406">
        <f t="shared" ref="A205:A212" si="41">A110</f>
        <v>2</v>
      </c>
      <c r="B205" s="1407" t="str">
        <f t="shared" si="32"/>
        <v>Boiler and Turbine improvement
(Station Heat Rate Improvement)</v>
      </c>
      <c r="C205" s="1406" t="str">
        <f t="shared" si="32"/>
        <v>MERC/TECH 1/CAPEX/20122013/02325</v>
      </c>
      <c r="D205" s="1451">
        <f t="shared" si="32"/>
        <v>41285</v>
      </c>
      <c r="E205" s="1452">
        <f t="shared" si="32"/>
        <v>16.783805100000002</v>
      </c>
      <c r="F205" s="1452">
        <f t="shared" si="33"/>
        <v>0</v>
      </c>
      <c r="G205" s="1452">
        <f t="shared" si="34"/>
        <v>0</v>
      </c>
      <c r="H205" s="1452">
        <f t="shared" si="35"/>
        <v>0</v>
      </c>
      <c r="I205" s="1452">
        <v>0</v>
      </c>
      <c r="J205" s="1452">
        <v>0</v>
      </c>
      <c r="K205" s="1452"/>
      <c r="L205" s="1452"/>
      <c r="M205" s="1452">
        <f t="shared" si="40"/>
        <v>0</v>
      </c>
      <c r="N205" s="1452">
        <f t="shared" si="37"/>
        <v>0</v>
      </c>
      <c r="O205" s="1453">
        <f t="shared" si="38"/>
        <v>0</v>
      </c>
      <c r="P205" s="1328">
        <f t="shared" si="39"/>
        <v>0</v>
      </c>
    </row>
    <row r="206" spans="1:16" ht="31" hidden="1" customHeight="1" outlineLevel="1" thickBot="1" x14ac:dyDescent="0.3">
      <c r="A206" s="1411">
        <f t="shared" si="41"/>
        <v>2.1</v>
      </c>
      <c r="B206" s="1412" t="str">
        <f t="shared" si="32"/>
        <v>Vent condenser performance improvement by replacement of eroded tube nest by unit 3.</v>
      </c>
      <c r="C206" s="1411" t="str">
        <f t="shared" si="32"/>
        <v>MERC/TECH 1/CAPEX/20122013/02325</v>
      </c>
      <c r="D206" s="1454">
        <f t="shared" si="32"/>
        <v>41285</v>
      </c>
      <c r="E206" s="1414">
        <f t="shared" si="32"/>
        <v>0.28599999999999998</v>
      </c>
      <c r="F206" s="1452">
        <f t="shared" si="33"/>
        <v>0</v>
      </c>
      <c r="G206" s="1452">
        <f t="shared" si="34"/>
        <v>0</v>
      </c>
      <c r="H206" s="1452">
        <f t="shared" si="35"/>
        <v>0</v>
      </c>
      <c r="I206" s="1452">
        <v>0</v>
      </c>
      <c r="J206" s="1452">
        <v>0</v>
      </c>
      <c r="K206" s="1414"/>
      <c r="L206" s="1414"/>
      <c r="M206" s="1414">
        <f t="shared" si="40"/>
        <v>0</v>
      </c>
      <c r="N206" s="1414">
        <f t="shared" si="37"/>
        <v>0</v>
      </c>
      <c r="O206" s="1453">
        <f t="shared" si="38"/>
        <v>0</v>
      </c>
      <c r="P206" s="1328">
        <f t="shared" si="39"/>
        <v>0</v>
      </c>
    </row>
    <row r="207" spans="1:16" ht="31" hidden="1" customHeight="1" outlineLevel="1" thickBot="1" x14ac:dyDescent="0.3">
      <c r="A207" s="1411">
        <f t="shared" si="41"/>
        <v>2.2000000000000002</v>
      </c>
      <c r="B207" s="1412" t="str">
        <f t="shared" si="32"/>
        <v>Replacement of major extraction valves &amp;NRVs of unit 3</v>
      </c>
      <c r="C207" s="1411" t="str">
        <f t="shared" si="32"/>
        <v>MERC/TECH 1/CAPEX/20122013/02325</v>
      </c>
      <c r="D207" s="1454">
        <f t="shared" si="32"/>
        <v>41285</v>
      </c>
      <c r="E207" s="1414">
        <f t="shared" si="32"/>
        <v>0.51900000000000002</v>
      </c>
      <c r="F207" s="1452">
        <f t="shared" si="33"/>
        <v>0</v>
      </c>
      <c r="G207" s="1452">
        <f t="shared" si="34"/>
        <v>0</v>
      </c>
      <c r="H207" s="1452">
        <f t="shared" si="35"/>
        <v>0</v>
      </c>
      <c r="I207" s="1452">
        <v>0</v>
      </c>
      <c r="J207" s="1452">
        <v>0</v>
      </c>
      <c r="K207" s="1414"/>
      <c r="L207" s="1414"/>
      <c r="M207" s="1414">
        <f t="shared" si="40"/>
        <v>0</v>
      </c>
      <c r="N207" s="1414">
        <f t="shared" si="37"/>
        <v>0</v>
      </c>
      <c r="O207" s="1453">
        <f t="shared" si="38"/>
        <v>0</v>
      </c>
      <c r="P207" s="1328">
        <f t="shared" si="39"/>
        <v>0</v>
      </c>
    </row>
    <row r="208" spans="1:16" ht="31" hidden="1" customHeight="1" outlineLevel="1" thickBot="1" x14ac:dyDescent="0.3">
      <c r="A208" s="1411">
        <f t="shared" si="41"/>
        <v>2.2999999999999998</v>
      </c>
      <c r="B208" s="1412" t="str">
        <f t="shared" si="32"/>
        <v>60% replacement of boiler skin insulation (Unit 2)</v>
      </c>
      <c r="C208" s="1411" t="str">
        <f t="shared" si="32"/>
        <v>MERC/TECH 1/CAPEX/20122013/02325</v>
      </c>
      <c r="D208" s="1454">
        <f t="shared" si="32"/>
        <v>41285</v>
      </c>
      <c r="E208" s="1414">
        <f t="shared" si="32"/>
        <v>0.29299999999999998</v>
      </c>
      <c r="F208" s="1452">
        <f t="shared" si="33"/>
        <v>0</v>
      </c>
      <c r="G208" s="1452">
        <f t="shared" si="34"/>
        <v>0</v>
      </c>
      <c r="H208" s="1452">
        <f t="shared" si="35"/>
        <v>0</v>
      </c>
      <c r="I208" s="1452">
        <v>0</v>
      </c>
      <c r="J208" s="1452">
        <v>0</v>
      </c>
      <c r="K208" s="1414"/>
      <c r="L208" s="1414"/>
      <c r="M208" s="1414">
        <f t="shared" si="40"/>
        <v>0</v>
      </c>
      <c r="N208" s="1414">
        <f t="shared" si="37"/>
        <v>0</v>
      </c>
      <c r="O208" s="1453">
        <f t="shared" si="38"/>
        <v>0</v>
      </c>
      <c r="P208" s="1328">
        <f t="shared" si="39"/>
        <v>0</v>
      </c>
    </row>
    <row r="209" spans="1:16" ht="31" hidden="1" customHeight="1" outlineLevel="1" thickBot="1" x14ac:dyDescent="0.3">
      <c r="A209" s="1411">
        <f t="shared" si="41"/>
        <v>2.4</v>
      </c>
      <c r="B209" s="1412" t="str">
        <f t="shared" si="32"/>
        <v>Replacement of DM make up ( unit 3) and GSH water pump.( units 2 &amp;3)</v>
      </c>
      <c r="C209" s="1411" t="str">
        <f t="shared" si="32"/>
        <v>MERC/TECH 1/CAPEX/20122013/02325</v>
      </c>
      <c r="D209" s="1454">
        <f t="shared" si="32"/>
        <v>41285</v>
      </c>
      <c r="E209" s="1414">
        <f t="shared" si="32"/>
        <v>0.20599999999999999</v>
      </c>
      <c r="F209" s="1452">
        <f t="shared" si="33"/>
        <v>0.26354099999999997</v>
      </c>
      <c r="G209" s="1452">
        <f t="shared" si="34"/>
        <v>0.26354099999999997</v>
      </c>
      <c r="H209" s="1452">
        <f t="shared" si="35"/>
        <v>0</v>
      </c>
      <c r="I209" s="1452">
        <v>0</v>
      </c>
      <c r="J209" s="1452">
        <v>0</v>
      </c>
      <c r="K209" s="1414"/>
      <c r="L209" s="1414"/>
      <c r="M209" s="1414">
        <f t="shared" si="40"/>
        <v>0</v>
      </c>
      <c r="N209" s="1414">
        <f t="shared" si="37"/>
        <v>0</v>
      </c>
      <c r="O209" s="1453">
        <f t="shared" si="38"/>
        <v>0</v>
      </c>
      <c r="P209" s="1328">
        <f t="shared" si="39"/>
        <v>0</v>
      </c>
    </row>
    <row r="210" spans="1:16" ht="31" hidden="1" customHeight="1" outlineLevel="1" thickBot="1" x14ac:dyDescent="0.3">
      <c r="A210" s="1411">
        <f t="shared" si="41"/>
        <v>2.5</v>
      </c>
      <c r="B210" s="1412" t="str">
        <f t="shared" si="32"/>
        <v>Replacement of LTSH coils (unit 3)</v>
      </c>
      <c r="C210" s="1411" t="str">
        <f t="shared" si="32"/>
        <v>MERC/TECH 1/CAPEX/20122013/02325</v>
      </c>
      <c r="D210" s="1454">
        <f t="shared" si="32"/>
        <v>41285</v>
      </c>
      <c r="E210" s="1414">
        <f t="shared" si="32"/>
        <v>8.3689999999999998</v>
      </c>
      <c r="F210" s="1452">
        <f t="shared" si="33"/>
        <v>5.319992955</v>
      </c>
      <c r="G210" s="1452">
        <f t="shared" si="34"/>
        <v>5.319992955</v>
      </c>
      <c r="H210" s="1452">
        <f t="shared" si="35"/>
        <v>0</v>
      </c>
      <c r="I210" s="1452">
        <v>0</v>
      </c>
      <c r="J210" s="1452">
        <v>0</v>
      </c>
      <c r="K210" s="1414"/>
      <c r="L210" s="1414"/>
      <c r="M210" s="1414">
        <f t="shared" si="40"/>
        <v>0</v>
      </c>
      <c r="N210" s="1414">
        <f t="shared" si="37"/>
        <v>0</v>
      </c>
      <c r="O210" s="1453">
        <f t="shared" si="38"/>
        <v>0</v>
      </c>
      <c r="P210" s="1328">
        <f t="shared" si="39"/>
        <v>0</v>
      </c>
    </row>
    <row r="211" spans="1:16" ht="31" hidden="1" customHeight="1" outlineLevel="1" thickBot="1" x14ac:dyDescent="0.3">
      <c r="A211" s="1411">
        <f t="shared" si="41"/>
        <v>2.6</v>
      </c>
      <c r="B211" s="1412" t="str">
        <f t="shared" si="32"/>
        <v>Replacement of ECO coils (unit 3)</v>
      </c>
      <c r="C211" s="1411" t="str">
        <f t="shared" si="32"/>
        <v>MERC/TECH 1/CAPEX/20122013/02325</v>
      </c>
      <c r="D211" s="1454">
        <f t="shared" si="32"/>
        <v>41285</v>
      </c>
      <c r="E211" s="1414">
        <f t="shared" si="32"/>
        <v>6.032</v>
      </c>
      <c r="F211" s="1452">
        <f t="shared" si="33"/>
        <v>3.47281854</v>
      </c>
      <c r="G211" s="1452">
        <f t="shared" si="34"/>
        <v>3.47281854</v>
      </c>
      <c r="H211" s="1452">
        <f t="shared" si="35"/>
        <v>0</v>
      </c>
      <c r="I211" s="1452">
        <v>0</v>
      </c>
      <c r="J211" s="1452">
        <v>0</v>
      </c>
      <c r="K211" s="1414"/>
      <c r="L211" s="1414"/>
      <c r="M211" s="1414">
        <f t="shared" si="40"/>
        <v>0</v>
      </c>
      <c r="N211" s="1414">
        <f t="shared" si="37"/>
        <v>0</v>
      </c>
      <c r="O211" s="1453">
        <f t="shared" si="38"/>
        <v>0</v>
      </c>
      <c r="P211" s="1328">
        <f t="shared" si="39"/>
        <v>0</v>
      </c>
    </row>
    <row r="212" spans="1:16" ht="31" hidden="1" customHeight="1" outlineLevel="1" thickBot="1" x14ac:dyDescent="0.3">
      <c r="A212" s="1411">
        <f t="shared" si="41"/>
        <v>2.7</v>
      </c>
      <c r="B212" s="1412" t="str">
        <f t="shared" si="32"/>
        <v>Replacement of old LT AHP pump impeller by energy efficient stainless steel impeller</v>
      </c>
      <c r="C212" s="1411" t="str">
        <f t="shared" si="32"/>
        <v>MERC/TECH 1/CAPEX/20122013/02325</v>
      </c>
      <c r="D212" s="1454">
        <f t="shared" si="32"/>
        <v>41285</v>
      </c>
      <c r="E212" s="1414">
        <f t="shared" si="32"/>
        <v>0.1488051</v>
      </c>
      <c r="F212" s="1452">
        <f t="shared" si="33"/>
        <v>0.1488051</v>
      </c>
      <c r="G212" s="1452">
        <f t="shared" si="34"/>
        <v>0.1488051</v>
      </c>
      <c r="H212" s="1452">
        <f t="shared" si="35"/>
        <v>0</v>
      </c>
      <c r="I212" s="1452">
        <v>0</v>
      </c>
      <c r="J212" s="1452">
        <v>0</v>
      </c>
      <c r="K212" s="1414"/>
      <c r="L212" s="1414"/>
      <c r="M212" s="1414">
        <f t="shared" si="40"/>
        <v>0</v>
      </c>
      <c r="N212" s="1414">
        <f t="shared" si="37"/>
        <v>0</v>
      </c>
      <c r="O212" s="1453">
        <f t="shared" si="38"/>
        <v>0</v>
      </c>
      <c r="P212" s="1328">
        <f t="shared" si="39"/>
        <v>0</v>
      </c>
    </row>
    <row r="213" spans="1:16" ht="31" hidden="1" customHeight="1" outlineLevel="1" thickBot="1" x14ac:dyDescent="0.3">
      <c r="A213" s="1416"/>
      <c r="B213" s="1412" t="str">
        <f t="shared" si="32"/>
        <v>IDC</v>
      </c>
      <c r="C213" s="1411" t="str">
        <f t="shared" si="32"/>
        <v>MERC/TECH 1/CAPEX/20122013/02325</v>
      </c>
      <c r="D213" s="1454">
        <f t="shared" si="32"/>
        <v>41285</v>
      </c>
      <c r="E213" s="1455">
        <f t="shared" si="32"/>
        <v>0.93</v>
      </c>
      <c r="F213" s="1452">
        <f t="shared" si="33"/>
        <v>0</v>
      </c>
      <c r="G213" s="1452">
        <f t="shared" si="34"/>
        <v>0</v>
      </c>
      <c r="H213" s="1452">
        <f t="shared" si="35"/>
        <v>0</v>
      </c>
      <c r="I213" s="1452">
        <v>0</v>
      </c>
      <c r="J213" s="1452">
        <v>0</v>
      </c>
      <c r="K213" s="1455"/>
      <c r="L213" s="1455"/>
      <c r="M213" s="1455">
        <f t="shared" si="40"/>
        <v>0</v>
      </c>
      <c r="N213" s="1455">
        <f t="shared" si="37"/>
        <v>0</v>
      </c>
      <c r="O213" s="1453">
        <f t="shared" si="38"/>
        <v>0</v>
      </c>
      <c r="P213" s="1328">
        <f t="shared" si="39"/>
        <v>0</v>
      </c>
    </row>
    <row r="214" spans="1:16" ht="31" hidden="1" customHeight="1" outlineLevel="1" thickBot="1" x14ac:dyDescent="0.3">
      <c r="A214" s="1406">
        <f t="shared" ref="A214:E229" si="42">A119</f>
        <v>3</v>
      </c>
      <c r="B214" s="1407" t="str">
        <f t="shared" si="42"/>
        <v>Measuring and Monitoring of Coal consumption</v>
      </c>
      <c r="C214" s="1406" t="str">
        <f t="shared" si="42"/>
        <v>MERC/CAPEX/20122013/00912</v>
      </c>
      <c r="D214" s="1451">
        <f t="shared" si="42"/>
        <v>41114</v>
      </c>
      <c r="E214" s="1452">
        <f t="shared" si="42"/>
        <v>45.918030000000002</v>
      </c>
      <c r="F214" s="1452">
        <f t="shared" si="33"/>
        <v>0</v>
      </c>
      <c r="G214" s="1452">
        <f t="shared" si="34"/>
        <v>0</v>
      </c>
      <c r="H214" s="1452">
        <f t="shared" si="35"/>
        <v>0</v>
      </c>
      <c r="I214" s="1452">
        <v>0</v>
      </c>
      <c r="J214" s="1452">
        <v>0</v>
      </c>
      <c r="K214" s="1452"/>
      <c r="L214" s="1452"/>
      <c r="M214" s="1452">
        <f t="shared" si="40"/>
        <v>0</v>
      </c>
      <c r="N214" s="1452">
        <f t="shared" si="37"/>
        <v>0</v>
      </c>
      <c r="O214" s="1453">
        <f t="shared" si="38"/>
        <v>0</v>
      </c>
      <c r="P214" s="1328">
        <f t="shared" si="39"/>
        <v>0</v>
      </c>
    </row>
    <row r="215" spans="1:16" ht="15.5" hidden="1" customHeight="1" outlineLevel="1" thickBot="1" x14ac:dyDescent="0.3">
      <c r="A215" s="1416">
        <f t="shared" si="42"/>
        <v>3.1</v>
      </c>
      <c r="B215" s="1412" t="str">
        <f t="shared" si="42"/>
        <v>Belt Weighers</v>
      </c>
      <c r="C215" s="1416" t="str">
        <f t="shared" si="42"/>
        <v>MERC/CAPEX/20122013/00912</v>
      </c>
      <c r="D215" s="1456">
        <f t="shared" si="42"/>
        <v>41114</v>
      </c>
      <c r="E215" s="1414">
        <f t="shared" si="42"/>
        <v>0.8044</v>
      </c>
      <c r="F215" s="1452">
        <f t="shared" si="33"/>
        <v>0</v>
      </c>
      <c r="G215" s="1452">
        <f t="shared" si="34"/>
        <v>0</v>
      </c>
      <c r="H215" s="1452">
        <f t="shared" si="35"/>
        <v>0</v>
      </c>
      <c r="I215" s="1452">
        <v>0</v>
      </c>
      <c r="J215" s="1452">
        <v>0</v>
      </c>
      <c r="K215" s="1414"/>
      <c r="L215" s="1414"/>
      <c r="M215" s="1414">
        <f t="shared" si="40"/>
        <v>0</v>
      </c>
      <c r="N215" s="1414">
        <f t="shared" si="37"/>
        <v>0</v>
      </c>
      <c r="O215" s="1453">
        <f t="shared" si="38"/>
        <v>0</v>
      </c>
      <c r="P215" s="1328">
        <f t="shared" si="39"/>
        <v>0</v>
      </c>
    </row>
    <row r="216" spans="1:16" ht="15.5" hidden="1" customHeight="1" outlineLevel="1" thickBot="1" x14ac:dyDescent="0.3">
      <c r="A216" s="1416">
        <f t="shared" si="42"/>
        <v>3.2</v>
      </c>
      <c r="B216" s="1412" t="str">
        <f t="shared" si="42"/>
        <v xml:space="preserve">Fully automatic pit-less in motion weigh bridges </v>
      </c>
      <c r="C216" s="1416" t="str">
        <f t="shared" si="42"/>
        <v>MERC/CAPEX/20122013/00912</v>
      </c>
      <c r="D216" s="1456">
        <f t="shared" si="42"/>
        <v>41114</v>
      </c>
      <c r="E216" s="1414">
        <f t="shared" si="42"/>
        <v>0.41149999999999998</v>
      </c>
      <c r="F216" s="1452">
        <f t="shared" si="33"/>
        <v>0</v>
      </c>
      <c r="G216" s="1452">
        <f t="shared" si="34"/>
        <v>0</v>
      </c>
      <c r="H216" s="1452">
        <f t="shared" si="35"/>
        <v>0</v>
      </c>
      <c r="I216" s="1452">
        <v>0</v>
      </c>
      <c r="J216" s="1452">
        <v>0</v>
      </c>
      <c r="K216" s="1414"/>
      <c r="L216" s="1414"/>
      <c r="M216" s="1414">
        <f t="shared" si="40"/>
        <v>0</v>
      </c>
      <c r="N216" s="1414">
        <f t="shared" si="37"/>
        <v>0</v>
      </c>
      <c r="O216" s="1453">
        <f t="shared" si="38"/>
        <v>0</v>
      </c>
      <c r="P216" s="1328">
        <f t="shared" si="39"/>
        <v>0</v>
      </c>
    </row>
    <row r="217" spans="1:16" ht="15.5" hidden="1" customHeight="1" outlineLevel="1" thickBot="1" x14ac:dyDescent="0.3">
      <c r="A217" s="1416">
        <f t="shared" si="42"/>
        <v>3.3</v>
      </c>
      <c r="B217" s="1412" t="str">
        <f t="shared" si="42"/>
        <v>Installation side arm charger for Wagon tippler 1A &amp; 1B</v>
      </c>
      <c r="C217" s="1416" t="str">
        <f t="shared" si="42"/>
        <v>MERC/CAPEX/20122013/00912</v>
      </c>
      <c r="D217" s="1456">
        <f t="shared" si="42"/>
        <v>41114</v>
      </c>
      <c r="E217" s="1414">
        <f t="shared" si="42"/>
        <v>21.96</v>
      </c>
      <c r="F217" s="1452">
        <f t="shared" si="33"/>
        <v>0</v>
      </c>
      <c r="G217" s="1452">
        <f t="shared" si="34"/>
        <v>0</v>
      </c>
      <c r="H217" s="1452">
        <f t="shared" si="35"/>
        <v>0</v>
      </c>
      <c r="I217" s="1452">
        <v>0</v>
      </c>
      <c r="J217" s="1452">
        <v>0</v>
      </c>
      <c r="K217" s="1414"/>
      <c r="L217" s="1414"/>
      <c r="M217" s="1414">
        <f t="shared" si="40"/>
        <v>0</v>
      </c>
      <c r="N217" s="1414">
        <f t="shared" si="37"/>
        <v>0</v>
      </c>
      <c r="O217" s="1453">
        <f t="shared" si="38"/>
        <v>0</v>
      </c>
      <c r="P217" s="1328">
        <f t="shared" si="39"/>
        <v>0</v>
      </c>
    </row>
    <row r="218" spans="1:16" ht="31" hidden="1" customHeight="1" outlineLevel="1" thickBot="1" x14ac:dyDescent="0.3">
      <c r="A218" s="1416">
        <f t="shared" si="42"/>
        <v>3.4</v>
      </c>
      <c r="B218" s="1412" t="str">
        <f t="shared" si="42"/>
        <v>Dust Extraction System at Secondary Crusher house &amp; Conveyor 6A/B at stage II CHP</v>
      </c>
      <c r="C218" s="1416" t="str">
        <f t="shared" si="42"/>
        <v>MERC/CAPEX/20122013/00912</v>
      </c>
      <c r="D218" s="1456">
        <f t="shared" si="42"/>
        <v>41114</v>
      </c>
      <c r="E218" s="1414">
        <f t="shared" si="42"/>
        <v>2.0714999999999999</v>
      </c>
      <c r="F218" s="1452">
        <f t="shared" si="33"/>
        <v>0</v>
      </c>
      <c r="G218" s="1452">
        <f t="shared" si="34"/>
        <v>0</v>
      </c>
      <c r="H218" s="1452">
        <f t="shared" si="35"/>
        <v>0</v>
      </c>
      <c r="I218" s="1452">
        <v>0</v>
      </c>
      <c r="J218" s="1452">
        <v>0</v>
      </c>
      <c r="K218" s="1414"/>
      <c r="L218" s="1414"/>
      <c r="M218" s="1414">
        <f t="shared" si="40"/>
        <v>0</v>
      </c>
      <c r="N218" s="1414">
        <f t="shared" si="37"/>
        <v>0</v>
      </c>
      <c r="O218" s="1453">
        <f t="shared" si="38"/>
        <v>0</v>
      </c>
      <c r="P218" s="1328">
        <f t="shared" si="39"/>
        <v>0</v>
      </c>
    </row>
    <row r="219" spans="1:16" ht="93" hidden="1" customHeight="1" outlineLevel="1" thickBot="1" x14ac:dyDescent="0.3">
      <c r="A219" s="1416">
        <f t="shared" si="42"/>
        <v>3.5</v>
      </c>
      <c r="B219" s="1412" t="str">
        <f t="shared" si="42"/>
        <v>Fogging system at 
a) WT old along with PCR, SCR and bunker level belt at Stage I CHP
b) Conveyor 7A/B
c) 100 Mtrx100 Mtr Coal stock area
d) 200 Mtrx200 Mtr Coal stock area</v>
      </c>
      <c r="C219" s="1416" t="str">
        <f t="shared" si="42"/>
        <v>MERC/CAPEX/20122013/00912</v>
      </c>
      <c r="D219" s="1456">
        <f t="shared" si="42"/>
        <v>41114</v>
      </c>
      <c r="E219" s="1414">
        <f t="shared" si="42"/>
        <v>2.2831000000000001</v>
      </c>
      <c r="F219" s="1452">
        <f t="shared" si="33"/>
        <v>0.4695358</v>
      </c>
      <c r="G219" s="1452">
        <f t="shared" si="34"/>
        <v>0.4695358</v>
      </c>
      <c r="H219" s="1452">
        <f t="shared" si="35"/>
        <v>0</v>
      </c>
      <c r="I219" s="1452">
        <v>0</v>
      </c>
      <c r="J219" s="1452">
        <v>0</v>
      </c>
      <c r="K219" s="1414"/>
      <c r="L219" s="1414"/>
      <c r="M219" s="1414">
        <f t="shared" si="40"/>
        <v>0</v>
      </c>
      <c r="N219" s="1414">
        <f t="shared" si="37"/>
        <v>0</v>
      </c>
      <c r="O219" s="1453">
        <f t="shared" si="38"/>
        <v>0</v>
      </c>
      <c r="P219" s="1328">
        <f t="shared" si="39"/>
        <v>0</v>
      </c>
    </row>
    <row r="220" spans="1:16" ht="15.5" hidden="1" customHeight="1" outlineLevel="1" thickBot="1" x14ac:dyDescent="0.3">
      <c r="A220" s="1416">
        <f t="shared" si="42"/>
        <v>3.6</v>
      </c>
      <c r="B220" s="1412" t="str">
        <f t="shared" si="42"/>
        <v xml:space="preserve">Bunker level montoring system for 12 bunkers </v>
      </c>
      <c r="C220" s="1416" t="str">
        <f t="shared" si="42"/>
        <v>MERC/CAPEX/20122013/00912</v>
      </c>
      <c r="D220" s="1456">
        <f t="shared" si="42"/>
        <v>41114</v>
      </c>
      <c r="E220" s="1414">
        <f t="shared" si="42"/>
        <v>2.5038</v>
      </c>
      <c r="F220" s="1452">
        <f t="shared" si="33"/>
        <v>0</v>
      </c>
      <c r="G220" s="1452">
        <f t="shared" si="34"/>
        <v>0</v>
      </c>
      <c r="H220" s="1452">
        <f t="shared" si="35"/>
        <v>0</v>
      </c>
      <c r="I220" s="1452">
        <v>0</v>
      </c>
      <c r="J220" s="1452">
        <v>0</v>
      </c>
      <c r="K220" s="1414"/>
      <c r="L220" s="1414"/>
      <c r="M220" s="1414">
        <f t="shared" si="40"/>
        <v>0</v>
      </c>
      <c r="N220" s="1414">
        <f t="shared" si="37"/>
        <v>0</v>
      </c>
      <c r="O220" s="1453">
        <f t="shared" si="38"/>
        <v>0</v>
      </c>
      <c r="P220" s="1328">
        <f t="shared" si="39"/>
        <v>0</v>
      </c>
    </row>
    <row r="221" spans="1:16" ht="15.5" hidden="1" customHeight="1" outlineLevel="1" thickBot="1" x14ac:dyDescent="0.3">
      <c r="A221" s="1416">
        <f t="shared" si="42"/>
        <v>3.7</v>
      </c>
      <c r="B221" s="1412" t="str">
        <f t="shared" si="42"/>
        <v xml:space="preserve">Rotary pneumatic or electrical hammers </v>
      </c>
      <c r="C221" s="1416" t="str">
        <f t="shared" si="42"/>
        <v>MERC/CAPEX/20122013/00912</v>
      </c>
      <c r="D221" s="1456">
        <f t="shared" si="42"/>
        <v>41114</v>
      </c>
      <c r="E221" s="1414">
        <f t="shared" si="42"/>
        <v>9.7000000000000003E-2</v>
      </c>
      <c r="F221" s="1452">
        <f t="shared" si="33"/>
        <v>0</v>
      </c>
      <c r="G221" s="1452">
        <f t="shared" si="34"/>
        <v>0</v>
      </c>
      <c r="H221" s="1452">
        <f t="shared" si="35"/>
        <v>0</v>
      </c>
      <c r="I221" s="1452">
        <v>0</v>
      </c>
      <c r="J221" s="1452">
        <v>0</v>
      </c>
      <c r="K221" s="1414"/>
      <c r="L221" s="1414"/>
      <c r="M221" s="1414">
        <f t="shared" si="40"/>
        <v>0</v>
      </c>
      <c r="N221" s="1414">
        <f t="shared" si="37"/>
        <v>0</v>
      </c>
      <c r="O221" s="1453">
        <f t="shared" si="38"/>
        <v>0</v>
      </c>
      <c r="P221" s="1328">
        <f t="shared" si="39"/>
        <v>0</v>
      </c>
    </row>
    <row r="222" spans="1:16" ht="31" hidden="1" customHeight="1" outlineLevel="1" thickBot="1" x14ac:dyDescent="0.3">
      <c r="A222" s="1416">
        <f t="shared" si="42"/>
        <v>3.8</v>
      </c>
      <c r="B222" s="1412" t="str">
        <f t="shared" si="42"/>
        <v xml:space="preserve">Enhancement of unloading capacity of CHP from 360 TPH to 500 TPH </v>
      </c>
      <c r="C222" s="1416" t="str">
        <f t="shared" si="42"/>
        <v>MERC/CAPEX/20122013/00912</v>
      </c>
      <c r="D222" s="1456">
        <f t="shared" si="42"/>
        <v>41114</v>
      </c>
      <c r="E222" s="1414">
        <f t="shared" si="42"/>
        <v>7.6508000000000003</v>
      </c>
      <c r="F222" s="1452">
        <f t="shared" si="33"/>
        <v>0</v>
      </c>
      <c r="G222" s="1452">
        <f t="shared" si="34"/>
        <v>0</v>
      </c>
      <c r="H222" s="1452">
        <f t="shared" si="35"/>
        <v>0</v>
      </c>
      <c r="I222" s="1452">
        <v>0</v>
      </c>
      <c r="J222" s="1452">
        <v>0</v>
      </c>
      <c r="K222" s="1414"/>
      <c r="L222" s="1414"/>
      <c r="M222" s="1414">
        <f t="shared" si="40"/>
        <v>0</v>
      </c>
      <c r="N222" s="1414">
        <f t="shared" si="37"/>
        <v>0</v>
      </c>
      <c r="O222" s="1453">
        <f t="shared" si="38"/>
        <v>0</v>
      </c>
      <c r="P222" s="1328">
        <f t="shared" si="39"/>
        <v>0</v>
      </c>
    </row>
    <row r="223" spans="1:16" ht="77.5" hidden="1" customHeight="1" outlineLevel="1" thickBot="1" x14ac:dyDescent="0.3">
      <c r="A223" s="1416">
        <f t="shared" si="42"/>
        <v>3.9</v>
      </c>
      <c r="B223" s="1412" t="str">
        <f t="shared" si="42"/>
        <v>Quick detection of poor coal quality through CCTV on overhead watch
tower focused onto the wagons, over which the rake passes at low
speed &amp; various conveyor tunnels</v>
      </c>
      <c r="C223" s="1416" t="str">
        <f t="shared" si="42"/>
        <v>MERC/CAPEX/20122013/00912</v>
      </c>
      <c r="D223" s="1456">
        <f t="shared" si="42"/>
        <v>41114</v>
      </c>
      <c r="E223" s="1414">
        <f t="shared" si="42"/>
        <v>0.29680000000000001</v>
      </c>
      <c r="F223" s="1452">
        <f t="shared" si="33"/>
        <v>0</v>
      </c>
      <c r="G223" s="1452">
        <f t="shared" si="34"/>
        <v>0</v>
      </c>
      <c r="H223" s="1452">
        <f t="shared" si="35"/>
        <v>0</v>
      </c>
      <c r="I223" s="1452">
        <v>0</v>
      </c>
      <c r="J223" s="1452">
        <v>0</v>
      </c>
      <c r="K223" s="1414"/>
      <c r="L223" s="1414"/>
      <c r="M223" s="1414">
        <f t="shared" si="40"/>
        <v>0</v>
      </c>
      <c r="N223" s="1414">
        <f t="shared" si="37"/>
        <v>0</v>
      </c>
      <c r="O223" s="1453">
        <f t="shared" si="38"/>
        <v>0</v>
      </c>
      <c r="P223" s="1328">
        <f t="shared" si="39"/>
        <v>0</v>
      </c>
    </row>
    <row r="224" spans="1:16" ht="15.5" hidden="1" customHeight="1" outlineLevel="1" thickBot="1" x14ac:dyDescent="0.3">
      <c r="A224" s="1418">
        <f t="shared" si="42"/>
        <v>3.1</v>
      </c>
      <c r="B224" s="1412" t="str">
        <f t="shared" si="42"/>
        <v xml:space="preserve">Motor controller for conveyor motors of Stage II CHP </v>
      </c>
      <c r="C224" s="1416" t="str">
        <f t="shared" si="42"/>
        <v>MERC/CAPEX/20122013/00912</v>
      </c>
      <c r="D224" s="1456">
        <f t="shared" si="42"/>
        <v>41114</v>
      </c>
      <c r="E224" s="1414">
        <f t="shared" si="42"/>
        <v>0.9607</v>
      </c>
      <c r="F224" s="1452">
        <f t="shared" si="33"/>
        <v>0.9607</v>
      </c>
      <c r="G224" s="1452">
        <f t="shared" si="34"/>
        <v>0.9607</v>
      </c>
      <c r="H224" s="1452">
        <f t="shared" si="35"/>
        <v>0</v>
      </c>
      <c r="I224" s="1452">
        <v>0</v>
      </c>
      <c r="J224" s="1452">
        <v>0</v>
      </c>
      <c r="K224" s="1414"/>
      <c r="L224" s="1414"/>
      <c r="M224" s="1414">
        <f t="shared" si="40"/>
        <v>0</v>
      </c>
      <c r="N224" s="1414">
        <f t="shared" si="37"/>
        <v>0</v>
      </c>
      <c r="O224" s="1453">
        <f t="shared" si="38"/>
        <v>0</v>
      </c>
      <c r="P224" s="1328">
        <f t="shared" si="39"/>
        <v>0</v>
      </c>
    </row>
    <row r="225" spans="1:16" ht="31" hidden="1" customHeight="1" outlineLevel="1" thickBot="1" x14ac:dyDescent="0.3">
      <c r="A225" s="1416">
        <f t="shared" si="42"/>
        <v>3.11</v>
      </c>
      <c r="B225" s="1412" t="str">
        <f t="shared" si="42"/>
        <v>Procurement of a CHN apparatus for ultimate analysis for operational optimization and coal mapping studies.</v>
      </c>
      <c r="C225" s="1416" t="str">
        <f t="shared" si="42"/>
        <v>MERC/CAPEX/20122013/00912</v>
      </c>
      <c r="D225" s="1456">
        <f t="shared" si="42"/>
        <v>41114</v>
      </c>
      <c r="E225" s="1414">
        <f t="shared" si="42"/>
        <v>0.63617000000000001</v>
      </c>
      <c r="F225" s="1452">
        <f t="shared" si="33"/>
        <v>0</v>
      </c>
      <c r="G225" s="1452">
        <f t="shared" si="34"/>
        <v>0</v>
      </c>
      <c r="H225" s="1452">
        <f t="shared" si="35"/>
        <v>0</v>
      </c>
      <c r="I225" s="1452">
        <v>0</v>
      </c>
      <c r="J225" s="1452">
        <v>0</v>
      </c>
      <c r="K225" s="1414"/>
      <c r="L225" s="1414"/>
      <c r="M225" s="1414">
        <f t="shared" si="40"/>
        <v>0</v>
      </c>
      <c r="N225" s="1414">
        <f t="shared" si="37"/>
        <v>0</v>
      </c>
      <c r="O225" s="1453">
        <f t="shared" si="38"/>
        <v>0</v>
      </c>
      <c r="P225" s="1328">
        <f t="shared" si="39"/>
        <v>0</v>
      </c>
    </row>
    <row r="226" spans="1:16" ht="15.5" hidden="1" customHeight="1" outlineLevel="1" thickBot="1" x14ac:dyDescent="0.3">
      <c r="A226" s="1416">
        <f t="shared" si="42"/>
        <v>3.12</v>
      </c>
      <c r="B226" s="1412" t="str">
        <f t="shared" si="42"/>
        <v xml:space="preserve">Additional bomb calorimeter </v>
      </c>
      <c r="C226" s="1416" t="str">
        <f t="shared" si="42"/>
        <v>MERC/CAPEX/20122013/00912</v>
      </c>
      <c r="D226" s="1456">
        <f t="shared" si="42"/>
        <v>41114</v>
      </c>
      <c r="E226" s="1414">
        <f t="shared" si="42"/>
        <v>0.44012000000000001</v>
      </c>
      <c r="F226" s="1452">
        <f t="shared" si="33"/>
        <v>0.19</v>
      </c>
      <c r="G226" s="1452">
        <f t="shared" si="34"/>
        <v>0.19</v>
      </c>
      <c r="H226" s="1452">
        <f t="shared" si="35"/>
        <v>0</v>
      </c>
      <c r="I226" s="1452">
        <v>0</v>
      </c>
      <c r="J226" s="1452">
        <v>0</v>
      </c>
      <c r="K226" s="1414"/>
      <c r="L226" s="1414"/>
      <c r="M226" s="1414">
        <f t="shared" si="40"/>
        <v>0</v>
      </c>
      <c r="N226" s="1414">
        <f t="shared" si="37"/>
        <v>0</v>
      </c>
      <c r="O226" s="1453">
        <f t="shared" si="38"/>
        <v>0</v>
      </c>
      <c r="P226" s="1328">
        <f t="shared" si="39"/>
        <v>0</v>
      </c>
    </row>
    <row r="227" spans="1:16" ht="15.5" hidden="1" customHeight="1" outlineLevel="1" thickBot="1" x14ac:dyDescent="0.3">
      <c r="A227" s="1416">
        <f t="shared" si="42"/>
        <v>3.13</v>
      </c>
      <c r="B227" s="1412" t="str">
        <f t="shared" si="42"/>
        <v xml:space="preserve">TGA analysis of the coal for operational optimization. </v>
      </c>
      <c r="C227" s="1416" t="str">
        <f t="shared" si="42"/>
        <v>MERC/CAPEX/20122013/00912</v>
      </c>
      <c r="D227" s="1456">
        <f t="shared" si="42"/>
        <v>41114</v>
      </c>
      <c r="E227" s="1414">
        <f t="shared" si="42"/>
        <v>0.53213999999999995</v>
      </c>
      <c r="F227" s="1452">
        <f t="shared" si="33"/>
        <v>0</v>
      </c>
      <c r="G227" s="1452">
        <f t="shared" si="34"/>
        <v>0</v>
      </c>
      <c r="H227" s="1452">
        <f t="shared" si="35"/>
        <v>0</v>
      </c>
      <c r="I227" s="1452">
        <v>0</v>
      </c>
      <c r="J227" s="1452">
        <v>0</v>
      </c>
      <c r="K227" s="1414"/>
      <c r="L227" s="1414"/>
      <c r="M227" s="1414">
        <f t="shared" si="40"/>
        <v>0</v>
      </c>
      <c r="N227" s="1414">
        <f t="shared" si="37"/>
        <v>0</v>
      </c>
      <c r="O227" s="1453">
        <f t="shared" si="38"/>
        <v>0</v>
      </c>
      <c r="P227" s="1328">
        <f t="shared" si="39"/>
        <v>0</v>
      </c>
    </row>
    <row r="228" spans="1:16" ht="15.5" hidden="1" customHeight="1" outlineLevel="1" thickBot="1" x14ac:dyDescent="0.3">
      <c r="A228" s="1406"/>
      <c r="B228" s="1412" t="str">
        <f t="shared" si="42"/>
        <v>IDC</v>
      </c>
      <c r="C228" s="1416" t="str">
        <f t="shared" si="42"/>
        <v>MERC/CAPEX/20122013/00912</v>
      </c>
      <c r="D228" s="1456">
        <f t="shared" si="42"/>
        <v>41114</v>
      </c>
      <c r="E228" s="1414">
        <f t="shared" si="42"/>
        <v>5.27</v>
      </c>
      <c r="F228" s="1452">
        <f t="shared" si="33"/>
        <v>0</v>
      </c>
      <c r="G228" s="1452">
        <f t="shared" si="34"/>
        <v>0</v>
      </c>
      <c r="H228" s="1452">
        <f t="shared" si="35"/>
        <v>0</v>
      </c>
      <c r="I228" s="1452">
        <v>0</v>
      </c>
      <c r="J228" s="1452">
        <v>0</v>
      </c>
      <c r="K228" s="1414"/>
      <c r="L228" s="1414"/>
      <c r="M228" s="1414">
        <f t="shared" si="40"/>
        <v>0</v>
      </c>
      <c r="N228" s="1414">
        <f t="shared" si="37"/>
        <v>0</v>
      </c>
      <c r="O228" s="1453">
        <f t="shared" si="38"/>
        <v>0</v>
      </c>
      <c r="P228" s="1328">
        <f t="shared" si="39"/>
        <v>0</v>
      </c>
    </row>
    <row r="229" spans="1:16" ht="31" hidden="1" customHeight="1" outlineLevel="1" thickBot="1" x14ac:dyDescent="0.3">
      <c r="A229" s="1406">
        <f>A134</f>
        <v>4</v>
      </c>
      <c r="B229" s="1407" t="str">
        <f t="shared" si="42"/>
        <v>Turbine Auxiliary Performance Improvements</v>
      </c>
      <c r="C229" s="1406" t="str">
        <f t="shared" si="42"/>
        <v>MERC/CAPEX/20122013/02107</v>
      </c>
      <c r="D229" s="1451">
        <f t="shared" si="42"/>
        <v>41281</v>
      </c>
      <c r="E229" s="1452">
        <f t="shared" si="42"/>
        <v>20.108999999999998</v>
      </c>
      <c r="F229" s="1452">
        <f t="shared" si="33"/>
        <v>0</v>
      </c>
      <c r="G229" s="1452">
        <f t="shared" si="34"/>
        <v>0</v>
      </c>
      <c r="H229" s="1452">
        <f t="shared" si="35"/>
        <v>0</v>
      </c>
      <c r="I229" s="1452">
        <v>0</v>
      </c>
      <c r="J229" s="1452">
        <v>0</v>
      </c>
      <c r="K229" s="1452"/>
      <c r="L229" s="1452"/>
      <c r="M229" s="1452">
        <f t="shared" si="40"/>
        <v>0</v>
      </c>
      <c r="N229" s="1452">
        <f t="shared" si="37"/>
        <v>0</v>
      </c>
      <c r="O229" s="1453">
        <f t="shared" si="38"/>
        <v>0</v>
      </c>
      <c r="P229" s="1328">
        <f t="shared" si="39"/>
        <v>0</v>
      </c>
    </row>
    <row r="230" spans="1:16" ht="46.5" hidden="1" customHeight="1" outlineLevel="1" thickBot="1" x14ac:dyDescent="0.3">
      <c r="A230" s="1416">
        <f>A135</f>
        <v>4.0999999999999996</v>
      </c>
      <c r="B230" s="1412" t="str">
        <f t="shared" ref="B230:E245" si="43">B135</f>
        <v>Procurement and installation and commissioning of modified upgraded boiler feed pump (Type -200KHI/S) having energy efficient cartridge for unit 2 &amp; 3 , BTPS.</v>
      </c>
      <c r="C230" s="1416" t="str">
        <f t="shared" si="43"/>
        <v>MERC/CAPEX/20122013/02107</v>
      </c>
      <c r="D230" s="1456">
        <f t="shared" si="43"/>
        <v>41281</v>
      </c>
      <c r="E230" s="1414">
        <f t="shared" si="43"/>
        <v>17.47</v>
      </c>
      <c r="F230" s="1452">
        <f t="shared" si="33"/>
        <v>8.655683800000002</v>
      </c>
      <c r="G230" s="1452">
        <f t="shared" si="34"/>
        <v>8.655683800000002</v>
      </c>
      <c r="H230" s="1452">
        <f t="shared" si="35"/>
        <v>0</v>
      </c>
      <c r="I230" s="1452">
        <v>0</v>
      </c>
      <c r="J230" s="1452">
        <v>0</v>
      </c>
      <c r="K230" s="1414"/>
      <c r="L230" s="1414"/>
      <c r="M230" s="1414">
        <f t="shared" si="40"/>
        <v>0</v>
      </c>
      <c r="N230" s="1414">
        <f t="shared" si="37"/>
        <v>0</v>
      </c>
      <c r="O230" s="1453">
        <f t="shared" si="38"/>
        <v>0</v>
      </c>
      <c r="P230" s="1328">
        <f t="shared" si="39"/>
        <v>0</v>
      </c>
    </row>
    <row r="231" spans="1:16" ht="31" hidden="1" customHeight="1" outlineLevel="1" thickBot="1" x14ac:dyDescent="0.3">
      <c r="A231" s="1416">
        <f>A136</f>
        <v>4.2</v>
      </c>
      <c r="B231" s="1412" t="str">
        <f t="shared" si="43"/>
        <v>Replacement of brine pumps with modified pumps complete with S.S material in new WTP</v>
      </c>
      <c r="C231" s="1416" t="str">
        <f t="shared" si="43"/>
        <v>MERC/CAPEX/20122013/02107</v>
      </c>
      <c r="D231" s="1456">
        <f t="shared" si="43"/>
        <v>41281</v>
      </c>
      <c r="E231" s="1414">
        <f t="shared" si="43"/>
        <v>1.0289999999999999</v>
      </c>
      <c r="F231" s="1452">
        <f t="shared" si="33"/>
        <v>0.30159950000000002</v>
      </c>
      <c r="G231" s="1452">
        <f t="shared" si="34"/>
        <v>0.30159950000000002</v>
      </c>
      <c r="H231" s="1452">
        <f t="shared" si="35"/>
        <v>0</v>
      </c>
      <c r="I231" s="1452">
        <v>0</v>
      </c>
      <c r="J231" s="1452">
        <v>0</v>
      </c>
      <c r="K231" s="1414"/>
      <c r="L231" s="1414"/>
      <c r="M231" s="1414">
        <f t="shared" si="40"/>
        <v>0</v>
      </c>
      <c r="N231" s="1414">
        <f t="shared" si="37"/>
        <v>0</v>
      </c>
      <c r="O231" s="1453">
        <f t="shared" si="38"/>
        <v>0</v>
      </c>
      <c r="P231" s="1328">
        <f t="shared" si="39"/>
        <v>0</v>
      </c>
    </row>
    <row r="232" spans="1:16" ht="15.5" hidden="1" customHeight="1" outlineLevel="1" thickBot="1" x14ac:dyDescent="0.3">
      <c r="A232" s="1406"/>
      <c r="B232" s="1412" t="str">
        <f t="shared" si="43"/>
        <v>IDC</v>
      </c>
      <c r="C232" s="1416" t="str">
        <f t="shared" si="43"/>
        <v>MERC/CAPEX/20122013/02107</v>
      </c>
      <c r="D232" s="1456">
        <f t="shared" si="43"/>
        <v>41281</v>
      </c>
      <c r="E232" s="1414">
        <f t="shared" si="43"/>
        <v>1.61</v>
      </c>
      <c r="F232" s="1452">
        <f t="shared" si="33"/>
        <v>0</v>
      </c>
      <c r="G232" s="1452">
        <f t="shared" si="34"/>
        <v>0</v>
      </c>
      <c r="H232" s="1452">
        <f t="shared" si="35"/>
        <v>0</v>
      </c>
      <c r="I232" s="1452">
        <v>0</v>
      </c>
      <c r="J232" s="1452">
        <v>0</v>
      </c>
      <c r="K232" s="1414"/>
      <c r="L232" s="1414"/>
      <c r="M232" s="1414">
        <f t="shared" si="40"/>
        <v>0</v>
      </c>
      <c r="N232" s="1414">
        <f t="shared" si="37"/>
        <v>0</v>
      </c>
      <c r="O232" s="1453">
        <f t="shared" si="38"/>
        <v>0</v>
      </c>
      <c r="P232" s="1328">
        <f t="shared" si="39"/>
        <v>0</v>
      </c>
    </row>
    <row r="233" spans="1:16" ht="31" hidden="1" customHeight="1" outlineLevel="1" thickBot="1" x14ac:dyDescent="0.3">
      <c r="A233" s="1406">
        <f>A138</f>
        <v>5</v>
      </c>
      <c r="B233" s="1407" t="str">
        <f t="shared" si="43"/>
        <v>Replacement of Platen water wall coils U#2,Super Heater &amp; Platen Super Heater Coils for U#2 and Cold Reheater coils for U#2 &amp; U#3</v>
      </c>
      <c r="C233" s="1406" t="str">
        <f t="shared" si="43"/>
        <v>MERC/TECH-1/CAPEX/20142015/006</v>
      </c>
      <c r="D233" s="1451">
        <f t="shared" si="43"/>
        <v>41928</v>
      </c>
      <c r="E233" s="1452">
        <f t="shared" si="43"/>
        <v>13.692</v>
      </c>
      <c r="F233" s="1452">
        <f t="shared" si="33"/>
        <v>0</v>
      </c>
      <c r="G233" s="1452">
        <f t="shared" si="34"/>
        <v>0</v>
      </c>
      <c r="H233" s="1452">
        <f t="shared" si="35"/>
        <v>0</v>
      </c>
      <c r="I233" s="1452">
        <v>0</v>
      </c>
      <c r="J233" s="1452">
        <v>0</v>
      </c>
      <c r="K233" s="1452"/>
      <c r="L233" s="1452"/>
      <c r="M233" s="1452">
        <f t="shared" si="40"/>
        <v>0</v>
      </c>
      <c r="N233" s="1452">
        <f t="shared" si="37"/>
        <v>0</v>
      </c>
      <c r="O233" s="1453">
        <f t="shared" si="38"/>
        <v>0</v>
      </c>
      <c r="P233" s="1328">
        <f t="shared" si="39"/>
        <v>0</v>
      </c>
    </row>
    <row r="234" spans="1:16" ht="31" hidden="1" customHeight="1" outlineLevel="1" thickBot="1" x14ac:dyDescent="0.3">
      <c r="A234" s="1416">
        <f>A139</f>
        <v>5.0999999999999996</v>
      </c>
      <c r="B234" s="1419" t="str">
        <f t="shared" si="43"/>
        <v>Supply &amp; Erection of Platen Water wall coils Assembly from inlet header to outlet header in pent house for Unit No 2</v>
      </c>
      <c r="C234" s="1416" t="str">
        <f t="shared" si="43"/>
        <v>MERC/TECH-1/CAPEX/20142015/006</v>
      </c>
      <c r="D234" s="1456">
        <f t="shared" si="43"/>
        <v>41928</v>
      </c>
      <c r="E234" s="1414">
        <f t="shared" si="43"/>
        <v>1.1040000000000001</v>
      </c>
      <c r="F234" s="1452">
        <f t="shared" si="33"/>
        <v>0.54</v>
      </c>
      <c r="G234" s="1452">
        <f t="shared" si="34"/>
        <v>0.54</v>
      </c>
      <c r="H234" s="1452">
        <f t="shared" si="35"/>
        <v>0</v>
      </c>
      <c r="I234" s="1452">
        <v>0</v>
      </c>
      <c r="J234" s="1452">
        <v>0</v>
      </c>
      <c r="K234" s="1414"/>
      <c r="L234" s="1414"/>
      <c r="M234" s="1414">
        <f t="shared" si="40"/>
        <v>0</v>
      </c>
      <c r="N234" s="1414">
        <f t="shared" si="37"/>
        <v>0</v>
      </c>
      <c r="O234" s="1453">
        <f t="shared" si="38"/>
        <v>0</v>
      </c>
      <c r="P234" s="1328">
        <f t="shared" si="39"/>
        <v>0</v>
      </c>
    </row>
    <row r="235" spans="1:16" ht="62" hidden="1" customHeight="1" outlineLevel="1" thickBot="1" x14ac:dyDescent="0.3">
      <c r="A235" s="1416">
        <f>A140</f>
        <v>5.2</v>
      </c>
      <c r="B235" s="1419" t="str">
        <f t="shared" si="43"/>
        <v>Complete Supply &amp; Erection of Super Heater Radiant Roof Panel Tube  with Attachment  for Unit No 2 Boiler From front side of Boiler to rear side of boiler &amp; Vertical Platen Super Heater coils Assembly for Unit No 2, 210 MW Boiler.</v>
      </c>
      <c r="C235" s="1416" t="str">
        <f t="shared" si="43"/>
        <v>MERC/TECH-1/CAPEX/20142015/006</v>
      </c>
      <c r="D235" s="1456">
        <f t="shared" si="43"/>
        <v>41928</v>
      </c>
      <c r="E235" s="1414">
        <f t="shared" si="43"/>
        <v>5.4770000000000003</v>
      </c>
      <c r="F235" s="1452">
        <f t="shared" si="33"/>
        <v>5.4649043000000006</v>
      </c>
      <c r="G235" s="1452">
        <f t="shared" si="34"/>
        <v>5.4649043000000006</v>
      </c>
      <c r="H235" s="1452">
        <f t="shared" si="35"/>
        <v>0</v>
      </c>
      <c r="I235" s="1452">
        <v>0</v>
      </c>
      <c r="J235" s="1452">
        <v>0</v>
      </c>
      <c r="K235" s="1414"/>
      <c r="L235" s="1414"/>
      <c r="M235" s="1414">
        <f t="shared" si="40"/>
        <v>0</v>
      </c>
      <c r="N235" s="1414">
        <f t="shared" si="37"/>
        <v>0</v>
      </c>
      <c r="O235" s="1453">
        <f t="shared" si="38"/>
        <v>0</v>
      </c>
      <c r="P235" s="1328">
        <f t="shared" si="39"/>
        <v>0</v>
      </c>
    </row>
    <row r="236" spans="1:16" ht="62" hidden="1" customHeight="1" outlineLevel="1" thickBot="1" x14ac:dyDescent="0.3">
      <c r="A236" s="1416">
        <f>A141</f>
        <v>5.3</v>
      </c>
      <c r="B236" s="1419" t="str">
        <f t="shared" si="43"/>
        <v>Supply &amp; Erection of Reheater front Pendent Assembly consisting Full set of Cold Reheater coil assembly For Unit No 2 with necessary attachments, Crown Plate. Heat shield, roof seal bend, steam cooled spacer tube with necessary attachment.</v>
      </c>
      <c r="C236" s="1416" t="str">
        <f t="shared" si="43"/>
        <v>MERC/TECH-1/CAPEX/20142015/006</v>
      </c>
      <c r="D236" s="1456">
        <f t="shared" si="43"/>
        <v>41928</v>
      </c>
      <c r="E236" s="1414">
        <f t="shared" si="43"/>
        <v>2.7109999999999999</v>
      </c>
      <c r="F236" s="1452">
        <f t="shared" si="33"/>
        <v>2.6624558</v>
      </c>
      <c r="G236" s="1452">
        <f t="shared" si="34"/>
        <v>2.6624558</v>
      </c>
      <c r="H236" s="1452">
        <f t="shared" si="35"/>
        <v>0</v>
      </c>
      <c r="I236" s="1452">
        <v>0</v>
      </c>
      <c r="J236" s="1452">
        <v>0</v>
      </c>
      <c r="K236" s="1414"/>
      <c r="L236" s="1414"/>
      <c r="M236" s="1414">
        <f t="shared" si="40"/>
        <v>0</v>
      </c>
      <c r="N236" s="1414">
        <f t="shared" si="37"/>
        <v>0</v>
      </c>
      <c r="O236" s="1453">
        <f t="shared" si="38"/>
        <v>0</v>
      </c>
      <c r="P236" s="1328">
        <f t="shared" si="39"/>
        <v>0</v>
      </c>
    </row>
    <row r="237" spans="1:16" ht="62" hidden="1" customHeight="1" outlineLevel="1" thickBot="1" x14ac:dyDescent="0.3">
      <c r="A237" s="1416">
        <f>A142</f>
        <v>5.4</v>
      </c>
      <c r="B237" s="1419" t="str">
        <f t="shared" si="43"/>
        <v>Supply &amp; Erection of Reheater front Pendent Assembly consisting Full set of Cold Reheater coil assembly For Unit No 3 with necessary attachments, Crown Plate. Heat shield, roof seal bend, steam cooled spacer tube with necessary attachment.</v>
      </c>
      <c r="C237" s="1416" t="str">
        <f t="shared" si="43"/>
        <v>MERC/TECH-1/CAPEX/20142015/006</v>
      </c>
      <c r="D237" s="1456">
        <f t="shared" si="43"/>
        <v>41928</v>
      </c>
      <c r="E237" s="1414">
        <f t="shared" si="43"/>
        <v>2.7109999999999999</v>
      </c>
      <c r="F237" s="1452">
        <f t="shared" si="33"/>
        <v>2.3531</v>
      </c>
      <c r="G237" s="1452">
        <f t="shared" si="34"/>
        <v>2.3531</v>
      </c>
      <c r="H237" s="1452">
        <f t="shared" si="35"/>
        <v>0</v>
      </c>
      <c r="I237" s="1452">
        <v>0</v>
      </c>
      <c r="J237" s="1452">
        <v>0</v>
      </c>
      <c r="K237" s="1414"/>
      <c r="L237" s="1414"/>
      <c r="M237" s="1414">
        <f t="shared" si="40"/>
        <v>0</v>
      </c>
      <c r="N237" s="1414">
        <f t="shared" si="37"/>
        <v>0</v>
      </c>
      <c r="O237" s="1453">
        <f t="shared" si="38"/>
        <v>0</v>
      </c>
      <c r="P237" s="1328">
        <f t="shared" si="39"/>
        <v>0</v>
      </c>
    </row>
    <row r="238" spans="1:16" ht="31" hidden="1" customHeight="1" outlineLevel="1" thickBot="1" x14ac:dyDescent="0.3">
      <c r="A238" s="1406"/>
      <c r="B238" s="1419" t="str">
        <f t="shared" si="43"/>
        <v>IDC</v>
      </c>
      <c r="C238" s="1416" t="str">
        <f t="shared" si="43"/>
        <v>MERC/TECH-1/CAPEX/20142015/006</v>
      </c>
      <c r="D238" s="1456">
        <f t="shared" si="43"/>
        <v>41928</v>
      </c>
      <c r="E238" s="1414">
        <f t="shared" si="43"/>
        <v>1.6890000000000001</v>
      </c>
      <c r="F238" s="1452">
        <f t="shared" si="33"/>
        <v>0</v>
      </c>
      <c r="G238" s="1452">
        <f t="shared" si="34"/>
        <v>0</v>
      </c>
      <c r="H238" s="1452">
        <f t="shared" si="35"/>
        <v>0</v>
      </c>
      <c r="I238" s="1452">
        <v>0</v>
      </c>
      <c r="J238" s="1452">
        <v>0</v>
      </c>
      <c r="K238" s="1414"/>
      <c r="L238" s="1414"/>
      <c r="M238" s="1414">
        <f t="shared" si="40"/>
        <v>0</v>
      </c>
      <c r="N238" s="1414">
        <f t="shared" si="37"/>
        <v>0</v>
      </c>
      <c r="O238" s="1453">
        <f t="shared" si="38"/>
        <v>0</v>
      </c>
      <c r="P238" s="1328">
        <f t="shared" si="39"/>
        <v>0</v>
      </c>
    </row>
    <row r="239" spans="1:16" ht="46.5" hidden="1" customHeight="1" outlineLevel="1" thickBot="1" x14ac:dyDescent="0.3">
      <c r="A239" s="1406">
        <f>A144</f>
        <v>6</v>
      </c>
      <c r="B239" s="1407" t="str">
        <f t="shared" si="43"/>
        <v>Boiler Process Improvement by replacement of damaged valves and Boiler Perfm Imp by Air Pre-Heater Up gradation of U#2 &amp; U#3 at BTPS</v>
      </c>
      <c r="C239" s="1406" t="str">
        <f t="shared" si="43"/>
        <v>MERC/Tech-1/CAPEX /2014-15/00433</v>
      </c>
      <c r="D239" s="1451">
        <f t="shared" si="43"/>
        <v>41792</v>
      </c>
      <c r="E239" s="1452">
        <f t="shared" si="43"/>
        <v>17.369999999999997</v>
      </c>
      <c r="F239" s="1452">
        <f t="shared" si="33"/>
        <v>0</v>
      </c>
      <c r="G239" s="1452">
        <f t="shared" si="34"/>
        <v>0</v>
      </c>
      <c r="H239" s="1452">
        <f t="shared" si="35"/>
        <v>0</v>
      </c>
      <c r="I239" s="1452">
        <v>0</v>
      </c>
      <c r="J239" s="1452">
        <v>0</v>
      </c>
      <c r="K239" s="1452"/>
      <c r="L239" s="1452"/>
      <c r="M239" s="1452">
        <f t="shared" si="40"/>
        <v>0</v>
      </c>
      <c r="N239" s="1452">
        <f t="shared" si="37"/>
        <v>0</v>
      </c>
      <c r="O239" s="1453">
        <f t="shared" si="38"/>
        <v>0</v>
      </c>
      <c r="P239" s="1328">
        <f t="shared" si="39"/>
        <v>0</v>
      </c>
    </row>
    <row r="240" spans="1:16" ht="31" hidden="1" customHeight="1" outlineLevel="1" thickBot="1" x14ac:dyDescent="0.3">
      <c r="A240" s="1411">
        <f>A145</f>
        <v>6.1</v>
      </c>
      <c r="B240" s="1419" t="str">
        <f t="shared" si="43"/>
        <v>Replacement of boiler outlet valves and damaged valves of units 2 &amp; 3</v>
      </c>
      <c r="C240" s="1411" t="str">
        <f t="shared" si="43"/>
        <v>MERC/Tech-1/CAPEX /2014-15/00433</v>
      </c>
      <c r="D240" s="1454">
        <f t="shared" si="43"/>
        <v>41792</v>
      </c>
      <c r="E240" s="1414">
        <f t="shared" si="43"/>
        <v>2.62</v>
      </c>
      <c r="F240" s="1452">
        <f t="shared" si="33"/>
        <v>1.3984000000000001</v>
      </c>
      <c r="G240" s="1452">
        <f t="shared" si="34"/>
        <v>1.3984000000000001</v>
      </c>
      <c r="H240" s="1452">
        <f t="shared" si="35"/>
        <v>0</v>
      </c>
      <c r="I240" s="1452">
        <v>0</v>
      </c>
      <c r="J240" s="1452">
        <v>0</v>
      </c>
      <c r="K240" s="1414"/>
      <c r="L240" s="1414"/>
      <c r="M240" s="1414">
        <f t="shared" si="40"/>
        <v>0</v>
      </c>
      <c r="N240" s="1414">
        <f t="shared" si="37"/>
        <v>0</v>
      </c>
      <c r="O240" s="1453">
        <f t="shared" si="38"/>
        <v>0</v>
      </c>
      <c r="P240" s="1328">
        <f t="shared" si="39"/>
        <v>0</v>
      </c>
    </row>
    <row r="241" spans="1:16" ht="31" hidden="1" customHeight="1" outlineLevel="1" thickBot="1" x14ac:dyDescent="0.3">
      <c r="A241" s="1411">
        <f>A146</f>
        <v>6.2</v>
      </c>
      <c r="B241" s="1419" t="str">
        <f t="shared" si="43"/>
        <v>Air pre heater up gradation of heat exchanger matrix &amp; regenerative dynamic sealing of units 2 &amp; 3</v>
      </c>
      <c r="C241" s="1411" t="str">
        <f t="shared" si="43"/>
        <v>MERC/Tech-1/CAPEX /2014-15/00433</v>
      </c>
      <c r="D241" s="1454">
        <f t="shared" si="43"/>
        <v>41792</v>
      </c>
      <c r="E241" s="1414">
        <f t="shared" si="43"/>
        <v>13.404999999999999</v>
      </c>
      <c r="F241" s="1452">
        <f t="shared" si="33"/>
        <v>1.2086276</v>
      </c>
      <c r="G241" s="1452">
        <f t="shared" si="34"/>
        <v>1.2086276</v>
      </c>
      <c r="H241" s="1452">
        <f t="shared" si="35"/>
        <v>0</v>
      </c>
      <c r="I241" s="1452">
        <v>0</v>
      </c>
      <c r="J241" s="1452">
        <v>0</v>
      </c>
      <c r="K241" s="1414"/>
      <c r="L241" s="1414"/>
      <c r="M241" s="1414">
        <f t="shared" si="40"/>
        <v>0</v>
      </c>
      <c r="N241" s="1414">
        <f t="shared" si="37"/>
        <v>0</v>
      </c>
      <c r="O241" s="1453">
        <f t="shared" si="38"/>
        <v>0</v>
      </c>
      <c r="P241" s="1328">
        <f t="shared" si="39"/>
        <v>0</v>
      </c>
    </row>
    <row r="242" spans="1:16" ht="31" hidden="1" customHeight="1" outlineLevel="1" thickBot="1" x14ac:dyDescent="0.3">
      <c r="A242" s="1411"/>
      <c r="B242" s="1419" t="str">
        <f t="shared" si="43"/>
        <v>IDC</v>
      </c>
      <c r="C242" s="1411" t="str">
        <f t="shared" si="43"/>
        <v>MERC/Tech-1/CAPEX /2014-15/00433</v>
      </c>
      <c r="D242" s="1454">
        <f t="shared" si="43"/>
        <v>41792</v>
      </c>
      <c r="E242" s="1414">
        <f t="shared" si="43"/>
        <v>1.345</v>
      </c>
      <c r="F242" s="1452">
        <f t="shared" si="33"/>
        <v>0</v>
      </c>
      <c r="G242" s="1452">
        <f t="shared" si="34"/>
        <v>0</v>
      </c>
      <c r="H242" s="1452">
        <f t="shared" si="35"/>
        <v>0</v>
      </c>
      <c r="I242" s="1452">
        <v>0</v>
      </c>
      <c r="J242" s="1452">
        <v>0</v>
      </c>
      <c r="K242" s="1414"/>
      <c r="L242" s="1414"/>
      <c r="M242" s="1414">
        <f t="shared" si="40"/>
        <v>0</v>
      </c>
      <c r="N242" s="1414">
        <f t="shared" si="37"/>
        <v>0</v>
      </c>
      <c r="O242" s="1453">
        <f t="shared" si="38"/>
        <v>0</v>
      </c>
      <c r="P242" s="1328">
        <f t="shared" si="39"/>
        <v>0</v>
      </c>
    </row>
    <row r="243" spans="1:16" ht="31" hidden="1" customHeight="1" outlineLevel="1" thickBot="1" x14ac:dyDescent="0.3">
      <c r="A243" s="1406">
        <f t="shared" ref="A243:E258" si="44">A148</f>
        <v>8</v>
      </c>
      <c r="B243" s="1407" t="str">
        <f t="shared" si="43"/>
        <v>Stack management by procurement of Bulldozer &amp; LOCO and CHP area schemes for performance &amp; unloading improvement</v>
      </c>
      <c r="C243" s="1406" t="str">
        <f t="shared" si="43"/>
        <v>MERC/CAPEX/20162017/01426</v>
      </c>
      <c r="D243" s="1451">
        <f t="shared" si="43"/>
        <v>42768</v>
      </c>
      <c r="E243" s="1452">
        <f t="shared" si="43"/>
        <v>2.0930578512396689</v>
      </c>
      <c r="F243" s="1452">
        <f t="shared" si="33"/>
        <v>0</v>
      </c>
      <c r="G243" s="1452">
        <f t="shared" si="34"/>
        <v>0</v>
      </c>
      <c r="H243" s="1452">
        <f t="shared" si="35"/>
        <v>0</v>
      </c>
      <c r="I243" s="1452">
        <v>0</v>
      </c>
      <c r="J243" s="1452">
        <v>0</v>
      </c>
      <c r="K243" s="1452"/>
      <c r="L243" s="1452"/>
      <c r="M243" s="1452">
        <f t="shared" si="40"/>
        <v>0</v>
      </c>
      <c r="N243" s="1452">
        <f t="shared" si="37"/>
        <v>0</v>
      </c>
      <c r="O243" s="1453">
        <f t="shared" si="38"/>
        <v>0</v>
      </c>
      <c r="P243" s="1328">
        <f t="shared" si="39"/>
        <v>0</v>
      </c>
    </row>
    <row r="244" spans="1:16" ht="15.5" hidden="1" customHeight="1" outlineLevel="1" thickBot="1" x14ac:dyDescent="0.3">
      <c r="A244" s="1411">
        <f t="shared" si="44"/>
        <v>8.1</v>
      </c>
      <c r="B244" s="1419" t="str">
        <f t="shared" si="43"/>
        <v>Procurement of Locomotive 800 HP (2 No.’s)</v>
      </c>
      <c r="C244" s="1411" t="str">
        <f t="shared" si="43"/>
        <v>MERC/CAPEX/20162017/01426</v>
      </c>
      <c r="D244" s="1454">
        <f t="shared" si="43"/>
        <v>42768</v>
      </c>
      <c r="E244" s="1414">
        <f t="shared" si="43"/>
        <v>1.0395867768595042</v>
      </c>
      <c r="F244" s="1452">
        <f t="shared" si="33"/>
        <v>1.0134768000000001</v>
      </c>
      <c r="G244" s="1452">
        <f t="shared" si="34"/>
        <v>1.0134768000000001</v>
      </c>
      <c r="H244" s="1452">
        <f t="shared" si="35"/>
        <v>0</v>
      </c>
      <c r="I244" s="1452">
        <v>0</v>
      </c>
      <c r="J244" s="1452">
        <v>0</v>
      </c>
      <c r="K244" s="1414"/>
      <c r="L244" s="1414"/>
      <c r="M244" s="1414">
        <f t="shared" si="40"/>
        <v>0</v>
      </c>
      <c r="N244" s="1414">
        <f t="shared" si="37"/>
        <v>0</v>
      </c>
      <c r="O244" s="1453">
        <f t="shared" si="38"/>
        <v>0</v>
      </c>
      <c r="P244" s="1328">
        <f t="shared" si="39"/>
        <v>0</v>
      </c>
    </row>
    <row r="245" spans="1:16" ht="15.5" hidden="1" customHeight="1" outlineLevel="1" thickBot="1" x14ac:dyDescent="0.3">
      <c r="A245" s="1411">
        <f t="shared" si="44"/>
        <v>8.1999999999999993</v>
      </c>
      <c r="B245" s="1419" t="str">
        <f t="shared" si="43"/>
        <v>Procurement of 2 No’s of Bulldozer Model D-155(2 No.’s)</v>
      </c>
      <c r="C245" s="1411" t="str">
        <f t="shared" si="43"/>
        <v>MERC/CAPEX/20162017/01426</v>
      </c>
      <c r="D245" s="1454">
        <f t="shared" si="43"/>
        <v>42768</v>
      </c>
      <c r="E245" s="1414">
        <f t="shared" si="43"/>
        <v>0.5380165289256198</v>
      </c>
      <c r="F245" s="1452">
        <f t="shared" si="33"/>
        <v>0.72968922148760329</v>
      </c>
      <c r="G245" s="1452">
        <f t="shared" si="34"/>
        <v>0.72968922148760329</v>
      </c>
      <c r="H245" s="1452">
        <f t="shared" si="35"/>
        <v>0</v>
      </c>
      <c r="I245" s="1452">
        <v>0</v>
      </c>
      <c r="J245" s="1452">
        <v>0</v>
      </c>
      <c r="K245" s="1414"/>
      <c r="L245" s="1414"/>
      <c r="M245" s="1414">
        <f t="shared" si="40"/>
        <v>0</v>
      </c>
      <c r="N245" s="1414">
        <f t="shared" si="37"/>
        <v>0</v>
      </c>
      <c r="O245" s="1453">
        <f t="shared" si="38"/>
        <v>0</v>
      </c>
      <c r="P245" s="1328">
        <f t="shared" si="39"/>
        <v>0</v>
      </c>
    </row>
    <row r="246" spans="1:16" ht="15.5" hidden="1" customHeight="1" outlineLevel="1" thickBot="1" x14ac:dyDescent="0.3">
      <c r="A246" s="1411">
        <f t="shared" si="44"/>
        <v>8.3000000000000007</v>
      </c>
      <c r="B246" s="1419" t="str">
        <f t="shared" si="44"/>
        <v>Modification below primary crusher chutes 15A/B &amp; Conv.02</v>
      </c>
      <c r="C246" s="1411" t="str">
        <f t="shared" si="44"/>
        <v>MERC/CAPEX/20162017/01426</v>
      </c>
      <c r="D246" s="1454">
        <f t="shared" si="44"/>
        <v>42768</v>
      </c>
      <c r="E246" s="1414">
        <f t="shared" si="44"/>
        <v>9.0247933884297526E-2</v>
      </c>
      <c r="F246" s="1452">
        <f t="shared" si="33"/>
        <v>7.9869421487603301E-2</v>
      </c>
      <c r="G246" s="1452">
        <f t="shared" si="34"/>
        <v>7.9869421487603301E-2</v>
      </c>
      <c r="H246" s="1452">
        <f t="shared" si="35"/>
        <v>0</v>
      </c>
      <c r="I246" s="1452">
        <v>0</v>
      </c>
      <c r="J246" s="1452">
        <v>0</v>
      </c>
      <c r="K246" s="1414"/>
      <c r="L246" s="1414"/>
      <c r="M246" s="1414">
        <f t="shared" si="40"/>
        <v>0</v>
      </c>
      <c r="N246" s="1414">
        <f t="shared" si="37"/>
        <v>0</v>
      </c>
      <c r="O246" s="1453">
        <f t="shared" si="38"/>
        <v>0</v>
      </c>
      <c r="P246" s="1328">
        <f t="shared" si="39"/>
        <v>0</v>
      </c>
    </row>
    <row r="247" spans="1:16" ht="15.5" hidden="1" customHeight="1" outlineLevel="1" thickBot="1" x14ac:dyDescent="0.3">
      <c r="A247" s="1411">
        <f t="shared" si="44"/>
        <v>8.4</v>
      </c>
      <c r="B247" s="1419" t="str">
        <f t="shared" si="44"/>
        <v>New helical gear box for various conveyors</v>
      </c>
      <c r="C247" s="1411" t="str">
        <f t="shared" si="44"/>
        <v>MERC/CAPEX/20162017/01426</v>
      </c>
      <c r="D247" s="1454">
        <f t="shared" si="44"/>
        <v>42768</v>
      </c>
      <c r="E247" s="1414">
        <f t="shared" si="44"/>
        <v>0.16661157024793388</v>
      </c>
      <c r="F247" s="1452">
        <f t="shared" si="33"/>
        <v>0</v>
      </c>
      <c r="G247" s="1452">
        <f t="shared" si="34"/>
        <v>0</v>
      </c>
      <c r="H247" s="1452">
        <f t="shared" si="35"/>
        <v>0</v>
      </c>
      <c r="I247" s="1452">
        <v>0</v>
      </c>
      <c r="J247" s="1452">
        <v>0</v>
      </c>
      <c r="K247" s="1414"/>
      <c r="L247" s="1414"/>
      <c r="M247" s="1414">
        <f t="shared" si="40"/>
        <v>0</v>
      </c>
      <c r="N247" s="1414">
        <f t="shared" si="37"/>
        <v>0</v>
      </c>
      <c r="O247" s="1453">
        <f t="shared" si="38"/>
        <v>0</v>
      </c>
      <c r="P247" s="1328">
        <f t="shared" si="39"/>
        <v>0</v>
      </c>
    </row>
    <row r="248" spans="1:16" ht="15.5" hidden="1" customHeight="1" outlineLevel="1" thickBot="1" x14ac:dyDescent="0.3">
      <c r="A248" s="1411">
        <f t="shared" si="44"/>
        <v>8.5</v>
      </c>
      <c r="B248" s="1419" t="str">
        <f t="shared" si="44"/>
        <v xml:space="preserve">Procurement of Elecon Make Ring Granulator Type TK-09-38B </v>
      </c>
      <c r="C248" s="1411" t="str">
        <f t="shared" si="44"/>
        <v>MERC/CAPEX/20162017/01426</v>
      </c>
      <c r="D248" s="1454">
        <f t="shared" si="44"/>
        <v>42768</v>
      </c>
      <c r="E248" s="1414">
        <f t="shared" si="44"/>
        <v>0.11280991735537189</v>
      </c>
      <c r="F248" s="1452">
        <f t="shared" si="33"/>
        <v>0</v>
      </c>
      <c r="G248" s="1452">
        <f t="shared" si="34"/>
        <v>0</v>
      </c>
      <c r="H248" s="1452">
        <f t="shared" si="35"/>
        <v>0</v>
      </c>
      <c r="I248" s="1452">
        <v>0</v>
      </c>
      <c r="J248" s="1452">
        <v>0</v>
      </c>
      <c r="K248" s="1414"/>
      <c r="L248" s="1414"/>
      <c r="M248" s="1414">
        <f t="shared" si="40"/>
        <v>0</v>
      </c>
      <c r="N248" s="1414">
        <f t="shared" si="37"/>
        <v>0</v>
      </c>
      <c r="O248" s="1453">
        <f t="shared" si="38"/>
        <v>0</v>
      </c>
      <c r="P248" s="1328">
        <f t="shared" si="39"/>
        <v>0</v>
      </c>
    </row>
    <row r="249" spans="1:16" ht="31" hidden="1" customHeight="1" outlineLevel="1" thickBot="1" x14ac:dyDescent="0.3">
      <c r="A249" s="1411">
        <f t="shared" si="44"/>
        <v>8.6</v>
      </c>
      <c r="B249" s="1419" t="str">
        <f t="shared" si="44"/>
        <v>Procurement of Elecon Make Ring Granulator Type TK6 32B Ring Granulator</v>
      </c>
      <c r="C249" s="1411" t="str">
        <f t="shared" si="44"/>
        <v>MERC/CAPEX/20162017/01426</v>
      </c>
      <c r="D249" s="1454">
        <f t="shared" si="44"/>
        <v>42768</v>
      </c>
      <c r="E249" s="1414">
        <f t="shared" si="44"/>
        <v>7.1157024793388424E-2</v>
      </c>
      <c r="F249" s="1452">
        <f t="shared" si="33"/>
        <v>0</v>
      </c>
      <c r="G249" s="1452">
        <f t="shared" si="34"/>
        <v>0</v>
      </c>
      <c r="H249" s="1452">
        <f t="shared" si="35"/>
        <v>0</v>
      </c>
      <c r="I249" s="1452">
        <v>0</v>
      </c>
      <c r="J249" s="1452">
        <v>0</v>
      </c>
      <c r="K249" s="1414"/>
      <c r="L249" s="1414"/>
      <c r="M249" s="1414">
        <f t="shared" si="40"/>
        <v>0</v>
      </c>
      <c r="N249" s="1414">
        <f t="shared" si="37"/>
        <v>0</v>
      </c>
      <c r="O249" s="1453">
        <f t="shared" si="38"/>
        <v>0</v>
      </c>
      <c r="P249" s="1328">
        <f t="shared" si="39"/>
        <v>0</v>
      </c>
    </row>
    <row r="250" spans="1:16" ht="15.5" hidden="1" customHeight="1" outlineLevel="1" thickBot="1" x14ac:dyDescent="0.3">
      <c r="A250" s="1411"/>
      <c r="B250" s="1419" t="str">
        <f t="shared" si="44"/>
        <v>IDC</v>
      </c>
      <c r="C250" s="1411" t="str">
        <f t="shared" si="44"/>
        <v>MERC/CAPEX/20162017/01426</v>
      </c>
      <c r="D250" s="1454">
        <f t="shared" si="44"/>
        <v>42768</v>
      </c>
      <c r="E250" s="1414">
        <f t="shared" si="44"/>
        <v>7.4628099173553716E-2</v>
      </c>
      <c r="F250" s="1452">
        <f t="shared" si="33"/>
        <v>0</v>
      </c>
      <c r="G250" s="1452">
        <f t="shared" si="34"/>
        <v>0</v>
      </c>
      <c r="H250" s="1452">
        <f t="shared" si="35"/>
        <v>0</v>
      </c>
      <c r="I250" s="1452">
        <v>0</v>
      </c>
      <c r="J250" s="1452">
        <v>0</v>
      </c>
      <c r="K250" s="1414"/>
      <c r="L250" s="1414"/>
      <c r="M250" s="1414">
        <f t="shared" si="40"/>
        <v>0</v>
      </c>
      <c r="N250" s="1414">
        <f t="shared" si="37"/>
        <v>0</v>
      </c>
      <c r="O250" s="1453">
        <f t="shared" si="38"/>
        <v>0</v>
      </c>
      <c r="P250" s="1328">
        <f t="shared" si="39"/>
        <v>0</v>
      </c>
    </row>
    <row r="251" spans="1:16" ht="46.5" hidden="1" customHeight="1" outlineLevel="1" thickBot="1" x14ac:dyDescent="0.3">
      <c r="A251" s="1406">
        <f>A156</f>
        <v>14</v>
      </c>
      <c r="B251" s="1407" t="str">
        <f t="shared" si="44"/>
        <v>Upgradation of Symphony Harmony DCS, 220V 1285 AH Battery &amp; Charger and Replacement of 6.6 kV HT MOCB by VCB at BTPS, Bhusawal</v>
      </c>
      <c r="C251" s="1406" t="str">
        <f t="shared" si="44"/>
        <v>MERC/CAPEX/2019-2020/915</v>
      </c>
      <c r="D251" s="1451">
        <f t="shared" si="44"/>
        <v>43760</v>
      </c>
      <c r="E251" s="1452">
        <f t="shared" si="44"/>
        <v>13.72861</v>
      </c>
      <c r="F251" s="1452">
        <f t="shared" si="33"/>
        <v>0</v>
      </c>
      <c r="G251" s="1452">
        <f t="shared" si="34"/>
        <v>0</v>
      </c>
      <c r="H251" s="1452">
        <f t="shared" si="35"/>
        <v>0</v>
      </c>
      <c r="I251" s="1452">
        <v>0</v>
      </c>
      <c r="J251" s="1452">
        <v>0</v>
      </c>
      <c r="K251" s="1452"/>
      <c r="L251" s="1452"/>
      <c r="M251" s="1452">
        <f t="shared" si="40"/>
        <v>0</v>
      </c>
      <c r="N251" s="1452">
        <f t="shared" si="37"/>
        <v>0</v>
      </c>
      <c r="O251" s="1453">
        <f t="shared" si="38"/>
        <v>0</v>
      </c>
      <c r="P251" s="1328">
        <f t="shared" si="39"/>
        <v>0</v>
      </c>
    </row>
    <row r="252" spans="1:16" ht="31" hidden="1" customHeight="1" outlineLevel="1" thickBot="1" x14ac:dyDescent="0.3">
      <c r="A252" s="1411">
        <f>A157</f>
        <v>14.1</v>
      </c>
      <c r="B252" s="1419" t="str">
        <f t="shared" si="44"/>
        <v>HMI Up-gradation of Symphony Harmony DCS Unit-3, 210MW, BTPS.</v>
      </c>
      <c r="C252" s="1411" t="str">
        <f t="shared" si="44"/>
        <v>MERC/CAPEX/2019-2020/915</v>
      </c>
      <c r="D252" s="1454">
        <f t="shared" si="44"/>
        <v>43760</v>
      </c>
      <c r="E252" s="1457">
        <f t="shared" si="44"/>
        <v>5.54</v>
      </c>
      <c r="F252" s="1452">
        <f t="shared" si="33"/>
        <v>0</v>
      </c>
      <c r="G252" s="1452">
        <f t="shared" si="34"/>
        <v>0</v>
      </c>
      <c r="H252" s="1452">
        <f t="shared" si="35"/>
        <v>0</v>
      </c>
      <c r="I252" s="1452">
        <v>5.54</v>
      </c>
      <c r="J252" s="1452">
        <v>5.54</v>
      </c>
      <c r="K252" s="1457"/>
      <c r="L252" s="1457"/>
      <c r="M252" s="1457">
        <f t="shared" si="40"/>
        <v>5.54</v>
      </c>
      <c r="N252" s="1457">
        <f t="shared" si="37"/>
        <v>0</v>
      </c>
      <c r="O252" s="1453">
        <f t="shared" si="38"/>
        <v>5.54</v>
      </c>
      <c r="P252" s="1328">
        <f t="shared" si="39"/>
        <v>0</v>
      </c>
    </row>
    <row r="253" spans="1:16" ht="46.5" hidden="1" customHeight="1" outlineLevel="1" thickBot="1" x14ac:dyDescent="0.3">
      <c r="A253" s="1411">
        <f>A158</f>
        <v>14.2</v>
      </c>
      <c r="B253" s="1419" t="str">
        <f t="shared" si="44"/>
        <v>Supply, erection, commissioning and site testing of Plante 220V DC, 1285 AH, Station Battery Set and charging equipment for 1285 AH Plante battery for Unit 3.</v>
      </c>
      <c r="C253" s="1411" t="str">
        <f t="shared" si="44"/>
        <v>MERC/CAPEX/2019-2020/915</v>
      </c>
      <c r="D253" s="1454">
        <f t="shared" si="44"/>
        <v>43760</v>
      </c>
      <c r="E253" s="1457">
        <f t="shared" si="44"/>
        <v>1.71861</v>
      </c>
      <c r="F253" s="1452">
        <f t="shared" si="33"/>
        <v>1.71861</v>
      </c>
      <c r="G253" s="1452">
        <f t="shared" si="34"/>
        <v>1.71861</v>
      </c>
      <c r="H253" s="1452">
        <f t="shared" si="35"/>
        <v>0</v>
      </c>
      <c r="I253" s="1452">
        <v>0</v>
      </c>
      <c r="J253" s="1452">
        <v>0</v>
      </c>
      <c r="K253" s="1457"/>
      <c r="L253" s="1457"/>
      <c r="M253" s="1457">
        <f t="shared" si="40"/>
        <v>0</v>
      </c>
      <c r="N253" s="1457">
        <f t="shared" si="37"/>
        <v>0</v>
      </c>
      <c r="O253" s="1453">
        <f t="shared" si="38"/>
        <v>0</v>
      </c>
      <c r="P253" s="1328">
        <f t="shared" si="39"/>
        <v>0</v>
      </c>
    </row>
    <row r="254" spans="1:16" ht="31" hidden="1" customHeight="1" outlineLevel="1" thickBot="1" x14ac:dyDescent="0.3">
      <c r="A254" s="1411">
        <f>A159</f>
        <v>14.3</v>
      </c>
      <c r="B254" s="1419" t="str">
        <f t="shared" si="44"/>
        <v>Retrofitting of 6.6 kv breakers of unit -3 along without door plant boards by vacuum circuit breakers.</v>
      </c>
      <c r="C254" s="1411" t="str">
        <f t="shared" si="44"/>
        <v>MERC/CAPEX/2019-2020/915</v>
      </c>
      <c r="D254" s="1454">
        <f t="shared" si="44"/>
        <v>43760</v>
      </c>
      <c r="E254" s="1457">
        <f t="shared" si="44"/>
        <v>6.47</v>
      </c>
      <c r="F254" s="1452">
        <f t="shared" si="33"/>
        <v>6.1082700000000001</v>
      </c>
      <c r="G254" s="1452">
        <f t="shared" si="34"/>
        <v>6.1082700000000001</v>
      </c>
      <c r="H254" s="1452">
        <f t="shared" si="35"/>
        <v>0</v>
      </c>
      <c r="I254" s="1452">
        <v>0</v>
      </c>
      <c r="J254" s="1452">
        <v>0</v>
      </c>
      <c r="K254" s="1457"/>
      <c r="L254" s="1457"/>
      <c r="M254" s="1457">
        <f t="shared" si="40"/>
        <v>0</v>
      </c>
      <c r="N254" s="1457">
        <f t="shared" si="37"/>
        <v>0</v>
      </c>
      <c r="O254" s="1453">
        <f t="shared" si="38"/>
        <v>0</v>
      </c>
      <c r="P254" s="1328">
        <f t="shared" si="39"/>
        <v>0</v>
      </c>
    </row>
    <row r="255" spans="1:16" ht="15.5" hidden="1" customHeight="1" outlineLevel="1" thickBot="1" x14ac:dyDescent="0.3">
      <c r="A255" s="1411"/>
      <c r="B255" s="1419" t="str">
        <f t="shared" si="44"/>
        <v>IDC</v>
      </c>
      <c r="C255" s="1411" t="str">
        <f t="shared" si="44"/>
        <v>MERC/CAPEX/2019-2020/915</v>
      </c>
      <c r="D255" s="1454">
        <f t="shared" si="44"/>
        <v>43760</v>
      </c>
      <c r="E255" s="1457">
        <f t="shared" si="44"/>
        <v>0</v>
      </c>
      <c r="F255" s="1452">
        <f t="shared" si="33"/>
        <v>0</v>
      </c>
      <c r="G255" s="1452">
        <f t="shared" si="34"/>
        <v>0</v>
      </c>
      <c r="H255" s="1452">
        <f t="shared" si="35"/>
        <v>0</v>
      </c>
      <c r="I255" s="1452">
        <v>0</v>
      </c>
      <c r="J255" s="1452">
        <v>0</v>
      </c>
      <c r="K255" s="1457"/>
      <c r="L255" s="1457"/>
      <c r="M255" s="1457">
        <f t="shared" si="40"/>
        <v>0</v>
      </c>
      <c r="N255" s="1457">
        <f t="shared" si="37"/>
        <v>0</v>
      </c>
      <c r="O255" s="1453">
        <f t="shared" si="38"/>
        <v>0</v>
      </c>
      <c r="P255" s="1328">
        <f t="shared" si="39"/>
        <v>0</v>
      </c>
    </row>
    <row r="256" spans="1:16" ht="46.5" hidden="1" customHeight="1" outlineLevel="1" thickBot="1" x14ac:dyDescent="0.3">
      <c r="A256" s="1406" t="str">
        <f t="shared" ref="A256:E271" si="45">A161</f>
        <v>HO
DPR-5</v>
      </c>
      <c r="B256" s="1407" t="str">
        <f t="shared" si="44"/>
        <v>Procurement of energy efficient HT motors at Bhusawal TPS, Koradi TPS, Chandrapur TPS, khaperkheda TPS, Parli TPS &amp; Paras TPS as insurance spares</v>
      </c>
      <c r="C256" s="1406" t="str">
        <f t="shared" si="44"/>
        <v>MERC/TECH 1/CAPEX/20142015/01218</v>
      </c>
      <c r="D256" s="1451">
        <f t="shared" si="44"/>
        <v>41968</v>
      </c>
      <c r="E256" s="1452">
        <f t="shared" si="44"/>
        <v>1.91</v>
      </c>
      <c r="F256" s="1452">
        <f t="shared" si="33"/>
        <v>0</v>
      </c>
      <c r="G256" s="1452">
        <f t="shared" si="34"/>
        <v>0</v>
      </c>
      <c r="H256" s="1452">
        <f t="shared" si="35"/>
        <v>0</v>
      </c>
      <c r="I256" s="1452">
        <v>0</v>
      </c>
      <c r="J256" s="1452">
        <v>0</v>
      </c>
      <c r="K256" s="1458"/>
      <c r="L256" s="1458"/>
      <c r="M256" s="1458">
        <f t="shared" si="40"/>
        <v>0</v>
      </c>
      <c r="N256" s="1458">
        <f t="shared" si="37"/>
        <v>0</v>
      </c>
      <c r="O256" s="1453">
        <f t="shared" si="38"/>
        <v>0</v>
      </c>
      <c r="P256" s="1328">
        <f t="shared" si="39"/>
        <v>0</v>
      </c>
    </row>
    <row r="257" spans="1:16" ht="31" hidden="1" customHeight="1" outlineLevel="1" thickBot="1" x14ac:dyDescent="0.4">
      <c r="A257" s="1416" t="str">
        <f t="shared" si="45"/>
        <v>HO
DPR 5.1</v>
      </c>
      <c r="B257" s="1422" t="str">
        <f t="shared" si="44"/>
        <v>Bhusawal: Procurement of HT motors (Coal Mill/CEP/CWP) for U-3</v>
      </c>
      <c r="C257" s="1416" t="str">
        <f t="shared" si="44"/>
        <v>MERC/TECH 1/CAPEX/20142015/01218</v>
      </c>
      <c r="D257" s="1456">
        <f t="shared" si="44"/>
        <v>41968</v>
      </c>
      <c r="E257" s="1455">
        <f t="shared" si="44"/>
        <v>1.91</v>
      </c>
      <c r="F257" s="1452">
        <f t="shared" si="33"/>
        <v>0.69702600000000003</v>
      </c>
      <c r="G257" s="1452">
        <f t="shared" si="34"/>
        <v>0.69702600000000003</v>
      </c>
      <c r="H257" s="1452">
        <f t="shared" si="35"/>
        <v>0</v>
      </c>
      <c r="I257" s="1452">
        <v>0</v>
      </c>
      <c r="J257" s="1452">
        <v>0</v>
      </c>
      <c r="K257" s="1455"/>
      <c r="L257" s="1455"/>
      <c r="M257" s="1455">
        <f t="shared" si="40"/>
        <v>0</v>
      </c>
      <c r="N257" s="1455">
        <f t="shared" si="37"/>
        <v>0</v>
      </c>
      <c r="O257" s="1453">
        <f t="shared" si="38"/>
        <v>0</v>
      </c>
      <c r="P257" s="1328">
        <f t="shared" si="39"/>
        <v>0</v>
      </c>
    </row>
    <row r="258" spans="1:16" ht="46.5" hidden="1" customHeight="1" outlineLevel="1" thickBot="1" x14ac:dyDescent="0.3">
      <c r="A258" s="1406" t="str">
        <f t="shared" si="45"/>
        <v>HO
DPR 6</v>
      </c>
      <c r="B258" s="1407" t="str">
        <f t="shared" si="44"/>
        <v>Supply, Installation, Commissioning and Operation &amp; Maintenance Services of Continuous Ambient Air Quality Monitoring Stations (CAAQMS) at various TPS</v>
      </c>
      <c r="C258" s="1406" t="str">
        <f t="shared" si="44"/>
        <v>MERC/CAPEX/20162017/00423</v>
      </c>
      <c r="D258" s="1451">
        <f t="shared" si="44"/>
        <v>42585</v>
      </c>
      <c r="E258" s="1452">
        <f t="shared" si="44"/>
        <v>1.3257526714285714</v>
      </c>
      <c r="F258" s="1452">
        <f t="shared" si="33"/>
        <v>0</v>
      </c>
      <c r="G258" s="1452">
        <f t="shared" si="34"/>
        <v>0</v>
      </c>
      <c r="H258" s="1452">
        <f t="shared" si="35"/>
        <v>0</v>
      </c>
      <c r="I258" s="1452">
        <v>0</v>
      </c>
      <c r="J258" s="1452">
        <v>0</v>
      </c>
      <c r="K258" s="1458"/>
      <c r="L258" s="1458"/>
      <c r="M258" s="1458">
        <f t="shared" si="40"/>
        <v>0</v>
      </c>
      <c r="N258" s="1458">
        <f t="shared" si="37"/>
        <v>0</v>
      </c>
      <c r="O258" s="1453">
        <f t="shared" si="38"/>
        <v>0</v>
      </c>
      <c r="P258" s="1328">
        <f t="shared" si="39"/>
        <v>0</v>
      </c>
    </row>
    <row r="259" spans="1:16" ht="31" hidden="1" customHeight="1" outlineLevel="1" thickBot="1" x14ac:dyDescent="0.4">
      <c r="A259" s="1416" t="str">
        <f t="shared" si="45"/>
        <v>HO
DPR 6.1</v>
      </c>
      <c r="B259" s="1422" t="str">
        <f t="shared" si="45"/>
        <v>Bhusawal: Unit 2-3 (1 Nos.)</v>
      </c>
      <c r="C259" s="1416" t="str">
        <f t="shared" si="45"/>
        <v>MERC/CAPEX/20162017/00423</v>
      </c>
      <c r="D259" s="1459">
        <f t="shared" si="45"/>
        <v>42585</v>
      </c>
      <c r="E259" s="1455">
        <f t="shared" si="45"/>
        <v>1.3257526714285714</v>
      </c>
      <c r="F259" s="1452">
        <f t="shared" si="33"/>
        <v>0.9383999666666667</v>
      </c>
      <c r="G259" s="1452">
        <f t="shared" si="34"/>
        <v>0.9383999666666667</v>
      </c>
      <c r="H259" s="1452">
        <f t="shared" si="35"/>
        <v>0</v>
      </c>
      <c r="I259" s="1452">
        <v>0</v>
      </c>
      <c r="J259" s="1452">
        <v>0</v>
      </c>
      <c r="K259" s="1455"/>
      <c r="L259" s="1455"/>
      <c r="M259" s="1455">
        <f t="shared" si="40"/>
        <v>0</v>
      </c>
      <c r="N259" s="1455">
        <f t="shared" si="37"/>
        <v>0</v>
      </c>
      <c r="O259" s="1453">
        <f t="shared" si="38"/>
        <v>0</v>
      </c>
      <c r="P259" s="1328">
        <f t="shared" si="39"/>
        <v>0</v>
      </c>
    </row>
    <row r="260" spans="1:16" ht="31" hidden="1" customHeight="1" outlineLevel="1" thickBot="1" x14ac:dyDescent="0.3">
      <c r="A260" s="1406" t="str">
        <f t="shared" si="45"/>
        <v>HO
DPR 7</v>
      </c>
      <c r="B260" s="1407" t="str">
        <f t="shared" si="45"/>
        <v>Installation of Real Time Online Coal-Ash Analyzer at various TPS</v>
      </c>
      <c r="C260" s="1406" t="str">
        <f t="shared" si="45"/>
        <v>MERC/CAPEX/20162017/00774</v>
      </c>
      <c r="D260" s="1451">
        <f t="shared" si="45"/>
        <v>42643</v>
      </c>
      <c r="E260" s="1452">
        <f t="shared" si="45"/>
        <v>0</v>
      </c>
      <c r="F260" s="1452">
        <f t="shared" si="33"/>
        <v>0</v>
      </c>
      <c r="G260" s="1452">
        <f t="shared" si="34"/>
        <v>0</v>
      </c>
      <c r="H260" s="1452">
        <f t="shared" si="35"/>
        <v>0</v>
      </c>
      <c r="I260" s="1452">
        <v>0</v>
      </c>
      <c r="J260" s="1452">
        <v>0</v>
      </c>
      <c r="K260" s="1458"/>
      <c r="L260" s="1458"/>
      <c r="M260" s="1458">
        <f t="shared" si="40"/>
        <v>0</v>
      </c>
      <c r="N260" s="1458">
        <f t="shared" si="37"/>
        <v>0</v>
      </c>
      <c r="O260" s="1453">
        <f t="shared" si="38"/>
        <v>0</v>
      </c>
      <c r="P260" s="1328">
        <f t="shared" si="39"/>
        <v>0</v>
      </c>
    </row>
    <row r="261" spans="1:16" ht="31" hidden="1" customHeight="1" outlineLevel="1" thickBot="1" x14ac:dyDescent="0.4">
      <c r="A261" s="1416" t="str">
        <f t="shared" si="45"/>
        <v>HO
DPR 7.1</v>
      </c>
      <c r="B261" s="1422" t="str">
        <f t="shared" si="45"/>
        <v>Bhusawal: Unit 2-3</v>
      </c>
      <c r="C261" s="1416" t="str">
        <f t="shared" si="45"/>
        <v>MERC/CAPEX/20162017/00774</v>
      </c>
      <c r="D261" s="1459">
        <f t="shared" si="45"/>
        <v>42643</v>
      </c>
      <c r="E261" s="1455">
        <f t="shared" si="45"/>
        <v>0</v>
      </c>
      <c r="F261" s="1452">
        <f t="shared" si="33"/>
        <v>0</v>
      </c>
      <c r="G261" s="1452">
        <f t="shared" si="34"/>
        <v>0</v>
      </c>
      <c r="H261" s="1452">
        <f t="shared" si="35"/>
        <v>0</v>
      </c>
      <c r="I261" s="1452">
        <v>0</v>
      </c>
      <c r="J261" s="1452">
        <v>0</v>
      </c>
      <c r="K261" s="1455"/>
      <c r="L261" s="1455"/>
      <c r="M261" s="1455">
        <f t="shared" si="40"/>
        <v>0</v>
      </c>
      <c r="N261" s="1455">
        <f t="shared" si="37"/>
        <v>0</v>
      </c>
      <c r="O261" s="1453">
        <f t="shared" si="38"/>
        <v>0</v>
      </c>
      <c r="P261" s="1328">
        <f t="shared" si="39"/>
        <v>0</v>
      </c>
    </row>
    <row r="262" spans="1:16" ht="31" hidden="1" customHeight="1" outlineLevel="1" thickBot="1" x14ac:dyDescent="0.3">
      <c r="A262" s="1424" t="str">
        <f t="shared" si="45"/>
        <v>HO
DPR 13</v>
      </c>
      <c r="B262" s="1425" t="str">
        <f t="shared" si="45"/>
        <v>Construction of new Administrative Building for Mahagenco at Vidyut Bhawan, Katol Road, Nagpur</v>
      </c>
      <c r="C262" s="1460" t="str">
        <f t="shared" si="45"/>
        <v>MERC/CAPEX/2021-2022/MSPGCL/063</v>
      </c>
      <c r="D262" s="1461">
        <f t="shared" si="45"/>
        <v>44604</v>
      </c>
      <c r="E262" s="1462">
        <f t="shared" si="45"/>
        <v>57</v>
      </c>
      <c r="F262" s="302">
        <f t="shared" si="33"/>
        <v>0</v>
      </c>
      <c r="G262" s="302">
        <f t="shared" si="34"/>
        <v>0</v>
      </c>
      <c r="H262" s="302">
        <f t="shared" si="35"/>
        <v>0</v>
      </c>
      <c r="I262" s="1462">
        <v>0</v>
      </c>
      <c r="J262" s="1462">
        <v>0</v>
      </c>
      <c r="K262" s="302"/>
      <c r="L262" s="302"/>
      <c r="M262" s="302">
        <f t="shared" ref="M262:M289" si="46">SUM(J262:L262)</f>
        <v>0</v>
      </c>
      <c r="N262" s="302">
        <f t="shared" si="37"/>
        <v>0</v>
      </c>
    </row>
    <row r="263" spans="1:16" ht="46.5" hidden="1" customHeight="1" outlineLevel="1" thickBot="1" x14ac:dyDescent="0.3">
      <c r="A263" s="1430" t="str">
        <f t="shared" si="45"/>
        <v>HO
DPR 13.1</v>
      </c>
      <c r="B263" s="1431" t="str">
        <f t="shared" si="45"/>
        <v>Construction of new Administrative Building for Mahagenco at Vidyut Bhawan, Katol Road, Nagpur</v>
      </c>
      <c r="C263" s="1427" t="str">
        <f t="shared" si="45"/>
        <v>MERC/CAPEX/2021-2022/MSPGCL/063</v>
      </c>
      <c r="D263" s="1464">
        <f t="shared" si="45"/>
        <v>44604</v>
      </c>
      <c r="E263" s="1465">
        <f t="shared" si="45"/>
        <v>54.24</v>
      </c>
      <c r="F263" s="302">
        <f t="shared" si="33"/>
        <v>0</v>
      </c>
      <c r="G263" s="302">
        <f t="shared" si="34"/>
        <v>0</v>
      </c>
      <c r="H263" s="302">
        <f t="shared" si="35"/>
        <v>0</v>
      </c>
      <c r="I263" s="1462">
        <v>0</v>
      </c>
      <c r="J263" s="1462">
        <v>0</v>
      </c>
      <c r="K263" s="302"/>
      <c r="L263" s="302"/>
      <c r="M263" s="302">
        <f t="shared" si="46"/>
        <v>0</v>
      </c>
      <c r="N263" s="302">
        <f t="shared" si="37"/>
        <v>0</v>
      </c>
    </row>
    <row r="264" spans="1:16" ht="31" hidden="1" customHeight="1" outlineLevel="1" thickBot="1" x14ac:dyDescent="0.3">
      <c r="A264" s="1433">
        <f t="shared" si="45"/>
        <v>0</v>
      </c>
      <c r="B264" s="1431" t="str">
        <f t="shared" si="45"/>
        <v>IDC</v>
      </c>
      <c r="C264" s="1427" t="str">
        <f t="shared" si="45"/>
        <v>MERC/CAPEX/2021-2022/MSPGCL/063</v>
      </c>
      <c r="D264" s="1464">
        <f t="shared" si="45"/>
        <v>44604</v>
      </c>
      <c r="E264" s="1465">
        <f t="shared" si="45"/>
        <v>2.76</v>
      </c>
      <c r="F264" s="302">
        <f t="shared" ref="F264:F289" si="47">F169+I169</f>
        <v>0</v>
      </c>
      <c r="G264" s="302">
        <f t="shared" ref="G264:G289" si="48">G169+M169</f>
        <v>0</v>
      </c>
      <c r="H264" s="302">
        <f t="shared" ref="H264:H289" si="49">F264-G264</f>
        <v>0</v>
      </c>
      <c r="I264" s="1462">
        <v>0</v>
      </c>
      <c r="J264" s="1462">
        <v>0</v>
      </c>
      <c r="K264" s="302"/>
      <c r="L264" s="302"/>
      <c r="M264" s="302">
        <f t="shared" si="46"/>
        <v>0</v>
      </c>
      <c r="N264" s="302">
        <f t="shared" ref="N264:N289" si="50">H264+I264-M264</f>
        <v>0</v>
      </c>
    </row>
    <row r="265" spans="1:16" ht="31" hidden="1" customHeight="1" outlineLevel="1" thickBot="1" x14ac:dyDescent="0.3">
      <c r="A265" s="1424" t="str">
        <f t="shared" si="45"/>
        <v>HO
DPR 16</v>
      </c>
      <c r="B265" s="1425" t="str">
        <f t="shared" si="45"/>
        <v>Centralized Monitoring Solution</v>
      </c>
      <c r="C265" s="1460" t="str">
        <f t="shared" si="45"/>
        <v>MERC/CAPEX/MSPGCL/2023-24/0576</v>
      </c>
      <c r="D265" s="1461">
        <f t="shared" si="45"/>
        <v>45232</v>
      </c>
      <c r="E265" s="1462">
        <f t="shared" si="45"/>
        <v>69.308999999999997</v>
      </c>
      <c r="F265" s="302">
        <f t="shared" si="47"/>
        <v>0</v>
      </c>
      <c r="G265" s="302">
        <f t="shared" si="48"/>
        <v>0</v>
      </c>
      <c r="H265" s="302">
        <f t="shared" si="49"/>
        <v>0</v>
      </c>
      <c r="I265" s="1462">
        <v>0</v>
      </c>
      <c r="J265" s="1462">
        <v>0</v>
      </c>
      <c r="K265" s="302"/>
      <c r="L265" s="302"/>
      <c r="M265" s="302">
        <f t="shared" si="46"/>
        <v>0</v>
      </c>
      <c r="N265" s="302">
        <f t="shared" si="50"/>
        <v>0</v>
      </c>
    </row>
    <row r="266" spans="1:16" ht="46.5" hidden="1" customHeight="1" outlineLevel="1" thickBot="1" x14ac:dyDescent="0.3">
      <c r="A266" s="1430" t="str">
        <f t="shared" si="45"/>
        <v>HO
DPR 16.1</v>
      </c>
      <c r="B266" s="1431" t="str">
        <f t="shared" si="45"/>
        <v>Centralized Monitoring Solution</v>
      </c>
      <c r="C266" s="1427" t="str">
        <f t="shared" si="45"/>
        <v>MERC/CAPEX/MSPGCL/2023-24/0576</v>
      </c>
      <c r="D266" s="1464">
        <f t="shared" si="45"/>
        <v>45232</v>
      </c>
      <c r="E266" s="1465">
        <f t="shared" si="45"/>
        <v>66.009</v>
      </c>
      <c r="F266" s="302">
        <f t="shared" si="47"/>
        <v>0</v>
      </c>
      <c r="G266" s="302">
        <f t="shared" si="48"/>
        <v>0</v>
      </c>
      <c r="H266" s="302">
        <f t="shared" si="49"/>
        <v>0</v>
      </c>
      <c r="I266" s="1462">
        <v>0</v>
      </c>
      <c r="J266" s="1462">
        <v>0</v>
      </c>
      <c r="K266" s="302"/>
      <c r="L266" s="302"/>
      <c r="M266" s="302">
        <f t="shared" si="46"/>
        <v>0</v>
      </c>
      <c r="N266" s="302">
        <f t="shared" si="50"/>
        <v>0</v>
      </c>
    </row>
    <row r="267" spans="1:16" ht="31" hidden="1" customHeight="1" outlineLevel="1" thickBot="1" x14ac:dyDescent="0.3">
      <c r="A267" s="1433"/>
      <c r="B267" s="1431" t="str">
        <f t="shared" si="45"/>
        <v>IDC</v>
      </c>
      <c r="C267" s="1427" t="str">
        <f t="shared" si="45"/>
        <v>MERC/CAPEX/MSPGCL/2023-24/0576</v>
      </c>
      <c r="D267" s="1464">
        <f t="shared" si="45"/>
        <v>45232</v>
      </c>
      <c r="E267" s="1465">
        <f t="shared" si="45"/>
        <v>3.3</v>
      </c>
      <c r="F267" s="302">
        <f t="shared" si="47"/>
        <v>0</v>
      </c>
      <c r="G267" s="302">
        <f t="shared" si="48"/>
        <v>0</v>
      </c>
      <c r="H267" s="302">
        <f t="shared" si="49"/>
        <v>0</v>
      </c>
      <c r="I267" s="1462">
        <v>0</v>
      </c>
      <c r="J267" s="1462">
        <v>0</v>
      </c>
      <c r="K267" s="302"/>
      <c r="L267" s="302"/>
      <c r="M267" s="302">
        <f t="shared" si="46"/>
        <v>0</v>
      </c>
      <c r="N267" s="302">
        <f t="shared" si="50"/>
        <v>0</v>
      </c>
    </row>
    <row r="268" spans="1:16" ht="15.5" hidden="1" customHeight="1" outlineLevel="1" thickBot="1" x14ac:dyDescent="0.3">
      <c r="A268" s="1433"/>
      <c r="B268" s="1431">
        <f t="shared" si="45"/>
        <v>0</v>
      </c>
      <c r="C268" s="1427">
        <f t="shared" si="45"/>
        <v>0</v>
      </c>
      <c r="D268" s="1464">
        <f t="shared" si="45"/>
        <v>0</v>
      </c>
      <c r="E268" s="1465">
        <f t="shared" si="45"/>
        <v>0</v>
      </c>
      <c r="F268" s="302">
        <f t="shared" si="47"/>
        <v>0</v>
      </c>
      <c r="G268" s="302">
        <f t="shared" si="48"/>
        <v>0</v>
      </c>
      <c r="H268" s="302">
        <f t="shared" si="49"/>
        <v>0</v>
      </c>
      <c r="I268" s="1462">
        <v>0</v>
      </c>
      <c r="J268" s="1462">
        <v>0</v>
      </c>
      <c r="K268" s="302"/>
      <c r="L268" s="302"/>
      <c r="M268" s="302">
        <f t="shared" si="46"/>
        <v>0</v>
      </c>
      <c r="N268" s="302">
        <f t="shared" si="50"/>
        <v>0</v>
      </c>
    </row>
    <row r="269" spans="1:16" ht="15.5" hidden="1" customHeight="1" outlineLevel="1" thickBot="1" x14ac:dyDescent="0.3">
      <c r="A269" s="1433"/>
      <c r="B269" s="1431">
        <f t="shared" si="45"/>
        <v>0</v>
      </c>
      <c r="C269" s="1427">
        <f t="shared" si="45"/>
        <v>0</v>
      </c>
      <c r="D269" s="1464">
        <f t="shared" si="45"/>
        <v>0</v>
      </c>
      <c r="E269" s="1465">
        <f t="shared" si="45"/>
        <v>0</v>
      </c>
      <c r="F269" s="302">
        <f t="shared" si="47"/>
        <v>0</v>
      </c>
      <c r="G269" s="302">
        <f t="shared" si="48"/>
        <v>0</v>
      </c>
      <c r="H269" s="302">
        <f t="shared" si="49"/>
        <v>0</v>
      </c>
      <c r="I269" s="1462">
        <v>0</v>
      </c>
      <c r="J269" s="1462">
        <v>0</v>
      </c>
      <c r="K269" s="302"/>
      <c r="L269" s="302"/>
      <c r="M269" s="302">
        <f t="shared" si="46"/>
        <v>0</v>
      </c>
      <c r="N269" s="302">
        <f t="shared" si="50"/>
        <v>0</v>
      </c>
    </row>
    <row r="270" spans="1:16" ht="15.5" hidden="1" customHeight="1" outlineLevel="1" thickBot="1" x14ac:dyDescent="0.3">
      <c r="A270" s="1280"/>
      <c r="B270" s="1329" t="str">
        <f t="shared" si="45"/>
        <v>(ii) Submitted to MERC but yet to be approved</v>
      </c>
      <c r="C270" s="1460">
        <f t="shared" si="45"/>
        <v>0</v>
      </c>
      <c r="D270" s="1464">
        <f t="shared" si="45"/>
        <v>0</v>
      </c>
      <c r="E270" s="1465">
        <f t="shared" si="45"/>
        <v>0</v>
      </c>
      <c r="F270" s="302">
        <f t="shared" si="47"/>
        <v>0</v>
      </c>
      <c r="G270" s="302">
        <f t="shared" si="48"/>
        <v>0</v>
      </c>
      <c r="H270" s="302">
        <f t="shared" si="49"/>
        <v>0</v>
      </c>
      <c r="I270" s="1462">
        <v>0</v>
      </c>
      <c r="J270" s="1462">
        <v>0</v>
      </c>
      <c r="K270" s="302"/>
      <c r="L270" s="302"/>
      <c r="M270" s="302">
        <f t="shared" si="46"/>
        <v>0</v>
      </c>
      <c r="N270" s="302">
        <f t="shared" si="50"/>
        <v>0</v>
      </c>
    </row>
    <row r="271" spans="1:16" ht="15.5" hidden="1" customHeight="1" outlineLevel="1" thickBot="1" x14ac:dyDescent="0.3">
      <c r="A271" s="1280"/>
      <c r="B271" s="1282">
        <f t="shared" si="45"/>
        <v>0</v>
      </c>
      <c r="C271" s="1427">
        <f t="shared" si="45"/>
        <v>0</v>
      </c>
      <c r="D271" s="1464">
        <f t="shared" si="45"/>
        <v>0</v>
      </c>
      <c r="E271" s="1465">
        <f t="shared" si="45"/>
        <v>0</v>
      </c>
      <c r="F271" s="302">
        <f t="shared" si="47"/>
        <v>0</v>
      </c>
      <c r="G271" s="302">
        <f t="shared" si="48"/>
        <v>0</v>
      </c>
      <c r="H271" s="302">
        <f t="shared" si="49"/>
        <v>0</v>
      </c>
      <c r="I271" s="1462">
        <v>0</v>
      </c>
      <c r="J271" s="1462">
        <v>0</v>
      </c>
      <c r="K271" s="302"/>
      <c r="L271" s="302"/>
      <c r="M271" s="302">
        <f t="shared" si="46"/>
        <v>0</v>
      </c>
      <c r="N271" s="302">
        <f t="shared" si="50"/>
        <v>0</v>
      </c>
    </row>
    <row r="272" spans="1:16" ht="15.5" hidden="1" customHeight="1" outlineLevel="1" thickBot="1" x14ac:dyDescent="0.3">
      <c r="A272" s="1301"/>
      <c r="B272" s="1329" t="str">
        <f t="shared" ref="B272:E284" si="51">B177</f>
        <v>(iii) Yet to be submitted to MERC</v>
      </c>
      <c r="C272" s="1460">
        <f t="shared" si="51"/>
        <v>0</v>
      </c>
      <c r="D272" s="1464">
        <f t="shared" si="51"/>
        <v>0</v>
      </c>
      <c r="E272" s="1465">
        <f t="shared" si="51"/>
        <v>0</v>
      </c>
      <c r="F272" s="302">
        <f t="shared" si="47"/>
        <v>0</v>
      </c>
      <c r="G272" s="302">
        <f t="shared" si="48"/>
        <v>0</v>
      </c>
      <c r="H272" s="302">
        <f t="shared" si="49"/>
        <v>0</v>
      </c>
      <c r="I272" s="1462">
        <v>0</v>
      </c>
      <c r="J272" s="1462">
        <v>0</v>
      </c>
      <c r="K272" s="302"/>
      <c r="L272" s="302"/>
      <c r="M272" s="302">
        <f t="shared" si="46"/>
        <v>0</v>
      </c>
      <c r="N272" s="302">
        <f t="shared" si="50"/>
        <v>0</v>
      </c>
    </row>
    <row r="273" spans="1:14" ht="18" hidden="1" customHeight="1" outlineLevel="1" thickBot="1" x14ac:dyDescent="0.3">
      <c r="A273" s="1304"/>
      <c r="B273" s="1305" t="str">
        <f t="shared" si="51"/>
        <v>FY 2026-27</v>
      </c>
      <c r="C273" s="1460">
        <f t="shared" si="51"/>
        <v>0</v>
      </c>
      <c r="D273" s="1464">
        <f t="shared" si="51"/>
        <v>0</v>
      </c>
      <c r="E273" s="1465">
        <f t="shared" si="51"/>
        <v>0</v>
      </c>
      <c r="F273" s="302">
        <f t="shared" si="47"/>
        <v>0</v>
      </c>
      <c r="G273" s="302">
        <f t="shared" si="48"/>
        <v>0</v>
      </c>
      <c r="H273" s="302">
        <f t="shared" si="49"/>
        <v>0</v>
      </c>
      <c r="I273" s="1462">
        <v>0</v>
      </c>
      <c r="J273" s="1462">
        <v>0</v>
      </c>
      <c r="K273" s="302"/>
      <c r="L273" s="302"/>
      <c r="M273" s="302">
        <f t="shared" si="46"/>
        <v>0</v>
      </c>
      <c r="N273" s="302">
        <f t="shared" si="50"/>
        <v>0</v>
      </c>
    </row>
    <row r="274" spans="1:14" ht="31" hidden="1" customHeight="1" outlineLevel="1" thickBot="1" x14ac:dyDescent="0.3">
      <c r="A274" s="1308">
        <f>A179</f>
        <v>1</v>
      </c>
      <c r="B274" s="1425" t="str">
        <f t="shared" si="51"/>
        <v>R&amp;M/LE for Identified Thermal units of MSPGCL  of BTPS U-3 (210 MW)</v>
      </c>
      <c r="C274" s="1460">
        <f t="shared" si="51"/>
        <v>0</v>
      </c>
      <c r="D274" s="1464">
        <f t="shared" si="51"/>
        <v>0</v>
      </c>
      <c r="E274" s="1465">
        <f t="shared" si="51"/>
        <v>0</v>
      </c>
      <c r="F274" s="302">
        <f t="shared" si="47"/>
        <v>0</v>
      </c>
      <c r="G274" s="302">
        <f t="shared" si="48"/>
        <v>0</v>
      </c>
      <c r="H274" s="302">
        <f t="shared" si="49"/>
        <v>0</v>
      </c>
      <c r="I274" s="1462">
        <v>0</v>
      </c>
      <c r="J274" s="1462">
        <v>0</v>
      </c>
      <c r="K274" s="302"/>
      <c r="L274" s="302"/>
      <c r="M274" s="302">
        <f t="shared" si="46"/>
        <v>0</v>
      </c>
      <c r="N274" s="302">
        <f t="shared" si="50"/>
        <v>0</v>
      </c>
    </row>
    <row r="275" spans="1:14" ht="31" hidden="1" customHeight="1" outlineLevel="1" thickBot="1" x14ac:dyDescent="0.3">
      <c r="A275" s="1313">
        <f>A180</f>
        <v>1.1000000000000001</v>
      </c>
      <c r="B275" s="1431" t="str">
        <f t="shared" si="51"/>
        <v>R&amp;M/LE for Identified Thermal units of MSPGCL  of BTPS U-3 (210 MW)</v>
      </c>
      <c r="C275" s="1460">
        <f t="shared" si="51"/>
        <v>0</v>
      </c>
      <c r="D275" s="1464">
        <f t="shared" si="51"/>
        <v>0</v>
      </c>
      <c r="E275" s="1465">
        <f t="shared" si="51"/>
        <v>0</v>
      </c>
      <c r="F275" s="302">
        <f t="shared" si="47"/>
        <v>0</v>
      </c>
      <c r="G275" s="302">
        <f t="shared" si="48"/>
        <v>0</v>
      </c>
      <c r="H275" s="302">
        <f t="shared" si="49"/>
        <v>0</v>
      </c>
      <c r="I275" s="1462">
        <v>0</v>
      </c>
      <c r="J275" s="1462">
        <v>0</v>
      </c>
      <c r="K275" s="302"/>
      <c r="L275" s="302"/>
      <c r="M275" s="302">
        <f t="shared" si="46"/>
        <v>0</v>
      </c>
      <c r="N275" s="302">
        <f t="shared" si="50"/>
        <v>0</v>
      </c>
    </row>
    <row r="276" spans="1:14" ht="15.5" hidden="1" customHeight="1" outlineLevel="1" thickBot="1" x14ac:dyDescent="0.35">
      <c r="A276" s="1301"/>
      <c r="B276" s="265">
        <f t="shared" si="51"/>
        <v>0</v>
      </c>
      <c r="C276" s="1460">
        <f t="shared" si="51"/>
        <v>0</v>
      </c>
      <c r="D276" s="1464">
        <f t="shared" si="51"/>
        <v>0</v>
      </c>
      <c r="E276" s="1465">
        <f t="shared" si="51"/>
        <v>0</v>
      </c>
      <c r="F276" s="302">
        <f t="shared" si="47"/>
        <v>0</v>
      </c>
      <c r="G276" s="302">
        <f t="shared" si="48"/>
        <v>0</v>
      </c>
      <c r="H276" s="302">
        <f t="shared" si="49"/>
        <v>0</v>
      </c>
      <c r="I276" s="1462">
        <v>0</v>
      </c>
      <c r="J276" s="1462">
        <v>0</v>
      </c>
      <c r="K276" s="302"/>
      <c r="L276" s="302"/>
      <c r="M276" s="302">
        <f t="shared" si="46"/>
        <v>0</v>
      </c>
      <c r="N276" s="302">
        <f t="shared" si="50"/>
        <v>0</v>
      </c>
    </row>
    <row r="277" spans="1:14" ht="15.5" hidden="1" customHeight="1" outlineLevel="1" thickBot="1" x14ac:dyDescent="0.35">
      <c r="A277" s="1301"/>
      <c r="B277" s="528" t="str">
        <f t="shared" si="51"/>
        <v>B) Non-DPR Schemes</v>
      </c>
      <c r="C277" s="1427">
        <f t="shared" si="51"/>
        <v>0</v>
      </c>
      <c r="D277" s="1464">
        <f t="shared" si="51"/>
        <v>0</v>
      </c>
      <c r="E277" s="1465">
        <f t="shared" si="51"/>
        <v>0</v>
      </c>
      <c r="F277" s="315">
        <f t="shared" si="47"/>
        <v>0</v>
      </c>
      <c r="G277" s="315">
        <f t="shared" si="48"/>
        <v>0</v>
      </c>
      <c r="H277" s="315">
        <f t="shared" si="49"/>
        <v>0</v>
      </c>
      <c r="I277" s="1462">
        <v>0</v>
      </c>
      <c r="J277" s="1462">
        <v>0</v>
      </c>
      <c r="K277" s="315"/>
      <c r="L277" s="315"/>
      <c r="M277" s="315">
        <f t="shared" si="46"/>
        <v>0</v>
      </c>
      <c r="N277" s="315">
        <f t="shared" si="50"/>
        <v>0</v>
      </c>
    </row>
    <row r="278" spans="1:14" ht="28" hidden="1" customHeight="1" outlineLevel="1" thickBot="1" x14ac:dyDescent="0.35">
      <c r="A278" s="1301">
        <f t="shared" ref="A278:E289" si="52">A183</f>
        <v>1</v>
      </c>
      <c r="B278" s="1315" t="str">
        <f t="shared" si="51"/>
        <v>Design, Supply and Installation for capacity enhancement of conveyor No. 08 at CHP210MW, BTPS.</v>
      </c>
      <c r="C278" s="1427">
        <f t="shared" si="51"/>
        <v>0</v>
      </c>
      <c r="D278" s="1464">
        <f t="shared" si="51"/>
        <v>0</v>
      </c>
      <c r="E278" s="1465">
        <f t="shared" si="51"/>
        <v>0</v>
      </c>
      <c r="F278" s="315">
        <f t="shared" si="47"/>
        <v>1.80009</v>
      </c>
      <c r="G278" s="315">
        <f t="shared" si="48"/>
        <v>1.80009</v>
      </c>
      <c r="H278" s="315">
        <f t="shared" si="49"/>
        <v>0</v>
      </c>
      <c r="I278" s="1462">
        <v>0</v>
      </c>
      <c r="J278" s="1462">
        <v>0</v>
      </c>
      <c r="K278" s="315"/>
      <c r="L278" s="315"/>
      <c r="M278" s="315">
        <f t="shared" si="46"/>
        <v>0</v>
      </c>
      <c r="N278" s="315">
        <f t="shared" si="50"/>
        <v>0</v>
      </c>
    </row>
    <row r="279" spans="1:14" ht="15.5" hidden="1" customHeight="1" outlineLevel="1" thickBot="1" x14ac:dyDescent="0.35">
      <c r="A279" s="1301">
        <f t="shared" si="52"/>
        <v>2</v>
      </c>
      <c r="B279" s="265" t="str">
        <f t="shared" si="51"/>
        <v>SPEAKER &amp; PTZ CAMER</v>
      </c>
      <c r="C279" s="1427">
        <f t="shared" si="51"/>
        <v>0</v>
      </c>
      <c r="D279" s="1464">
        <f t="shared" si="51"/>
        <v>0</v>
      </c>
      <c r="E279" s="1465">
        <f t="shared" si="51"/>
        <v>0</v>
      </c>
      <c r="F279" s="315">
        <f t="shared" si="47"/>
        <v>3.1968099999999999E-2</v>
      </c>
      <c r="G279" s="315">
        <f t="shared" si="48"/>
        <v>3.1968099999999999E-2</v>
      </c>
      <c r="H279" s="315">
        <f t="shared" si="49"/>
        <v>0</v>
      </c>
      <c r="I279" s="1462">
        <v>0</v>
      </c>
      <c r="J279" s="1462">
        <v>0</v>
      </c>
      <c r="K279" s="315"/>
      <c r="L279" s="315"/>
      <c r="M279" s="315">
        <f t="shared" si="46"/>
        <v>0</v>
      </c>
      <c r="N279" s="315">
        <f t="shared" si="50"/>
        <v>0</v>
      </c>
    </row>
    <row r="280" spans="1:14" ht="15.5" hidden="1" customHeight="1" outlineLevel="1" thickBot="1" x14ac:dyDescent="0.35">
      <c r="A280" s="1301">
        <f t="shared" si="52"/>
        <v>3</v>
      </c>
      <c r="B280" s="265" t="str">
        <f t="shared" si="51"/>
        <v>50 INCH TV &amp; 2TN AC</v>
      </c>
      <c r="C280" s="1427">
        <f t="shared" si="51"/>
        <v>0</v>
      </c>
      <c r="D280" s="1464">
        <f t="shared" si="51"/>
        <v>0</v>
      </c>
      <c r="E280" s="1465">
        <f t="shared" si="51"/>
        <v>0</v>
      </c>
      <c r="F280" s="315">
        <f t="shared" si="47"/>
        <v>6.4529699999999995E-2</v>
      </c>
      <c r="G280" s="315">
        <f t="shared" si="48"/>
        <v>6.4529699999999995E-2</v>
      </c>
      <c r="H280" s="315">
        <f t="shared" si="49"/>
        <v>0</v>
      </c>
      <c r="I280" s="1462">
        <v>0</v>
      </c>
      <c r="J280" s="1462">
        <v>0</v>
      </c>
      <c r="K280" s="315"/>
      <c r="L280" s="315"/>
      <c r="M280" s="315">
        <f t="shared" si="46"/>
        <v>0</v>
      </c>
      <c r="N280" s="315">
        <f t="shared" si="50"/>
        <v>0</v>
      </c>
    </row>
    <row r="281" spans="1:14" ht="15.5" hidden="1" customHeight="1" outlineLevel="1" thickBot="1" x14ac:dyDescent="0.35">
      <c r="A281" s="1301">
        <f t="shared" si="52"/>
        <v>4</v>
      </c>
      <c r="B281" s="817" t="str">
        <f t="shared" si="51"/>
        <v>Fixtures &amp; Fitting (10801)</v>
      </c>
      <c r="C281" s="1427">
        <f t="shared" si="51"/>
        <v>0</v>
      </c>
      <c r="D281" s="1464">
        <f t="shared" si="51"/>
        <v>0</v>
      </c>
      <c r="E281" s="1465">
        <f t="shared" si="51"/>
        <v>0</v>
      </c>
      <c r="F281" s="315">
        <f t="shared" si="47"/>
        <v>2.2089600000000001E-2</v>
      </c>
      <c r="G281" s="315">
        <f t="shared" si="48"/>
        <v>2.2089600000000001E-2</v>
      </c>
      <c r="H281" s="315">
        <f t="shared" si="49"/>
        <v>0</v>
      </c>
      <c r="I281" s="1462">
        <v>0</v>
      </c>
      <c r="J281" s="1462">
        <v>0</v>
      </c>
      <c r="K281" s="315"/>
      <c r="L281" s="315"/>
      <c r="M281" s="315">
        <f t="shared" si="46"/>
        <v>0</v>
      </c>
      <c r="N281" s="315">
        <f t="shared" si="50"/>
        <v>0</v>
      </c>
    </row>
    <row r="282" spans="1:14" ht="15.5" hidden="1" customHeight="1" outlineLevel="1" thickBot="1" x14ac:dyDescent="0.35">
      <c r="A282" s="1301">
        <f t="shared" si="52"/>
        <v>5</v>
      </c>
      <c r="B282" s="817" t="str">
        <f t="shared" si="51"/>
        <v>Office equpment (10901)</v>
      </c>
      <c r="C282" s="1427">
        <f t="shared" si="51"/>
        <v>0</v>
      </c>
      <c r="D282" s="1464">
        <f t="shared" si="51"/>
        <v>0</v>
      </c>
      <c r="E282" s="1465">
        <f t="shared" si="51"/>
        <v>0</v>
      </c>
      <c r="F282" s="315">
        <f t="shared" si="47"/>
        <v>0.60696666700000002</v>
      </c>
      <c r="G282" s="315">
        <f t="shared" si="48"/>
        <v>0.60696666700000002</v>
      </c>
      <c r="H282" s="315">
        <f t="shared" si="49"/>
        <v>0</v>
      </c>
      <c r="I282" s="1462">
        <v>0</v>
      </c>
      <c r="J282" s="1462">
        <v>0</v>
      </c>
      <c r="K282" s="315"/>
      <c r="L282" s="315"/>
      <c r="M282" s="315">
        <f t="shared" si="46"/>
        <v>0</v>
      </c>
      <c r="N282" s="315">
        <f t="shared" si="50"/>
        <v>0</v>
      </c>
    </row>
    <row r="283" spans="1:14" ht="15.5" hidden="1" customHeight="1" outlineLevel="1" thickBot="1" x14ac:dyDescent="0.35">
      <c r="A283" s="1301">
        <f t="shared" si="52"/>
        <v>6</v>
      </c>
      <c r="B283" s="265" t="str">
        <f t="shared" si="51"/>
        <v>Gearboxes for CHP Elecon Make</v>
      </c>
      <c r="C283" s="1427">
        <f t="shared" si="51"/>
        <v>0</v>
      </c>
      <c r="D283" s="1464">
        <f t="shared" si="51"/>
        <v>0</v>
      </c>
      <c r="E283" s="1465">
        <f t="shared" si="51"/>
        <v>0</v>
      </c>
      <c r="F283" s="315">
        <f t="shared" si="47"/>
        <v>0.345735079</v>
      </c>
      <c r="G283" s="315">
        <f t="shared" si="48"/>
        <v>0.345735079</v>
      </c>
      <c r="H283" s="315">
        <f t="shared" si="49"/>
        <v>0</v>
      </c>
      <c r="I283" s="1462">
        <v>0</v>
      </c>
      <c r="J283" s="1462">
        <v>0</v>
      </c>
      <c r="K283" s="315"/>
      <c r="L283" s="315"/>
      <c r="M283" s="315">
        <f t="shared" si="46"/>
        <v>0</v>
      </c>
      <c r="N283" s="315">
        <f t="shared" si="50"/>
        <v>0</v>
      </c>
    </row>
    <row r="284" spans="1:14" ht="15.5" hidden="1" customHeight="1" outlineLevel="1" thickBot="1" x14ac:dyDescent="0.4">
      <c r="A284" s="1301">
        <f t="shared" si="52"/>
        <v>7</v>
      </c>
      <c r="B284" s="1319" t="str">
        <f t="shared" si="51"/>
        <v>General Assets</v>
      </c>
      <c r="C284" s="1427">
        <f t="shared" si="51"/>
        <v>0</v>
      </c>
      <c r="D284" s="1464">
        <f t="shared" si="51"/>
        <v>0</v>
      </c>
      <c r="E284" s="1465">
        <f t="shared" si="51"/>
        <v>0</v>
      </c>
      <c r="F284" s="315">
        <f t="shared" si="47"/>
        <v>0</v>
      </c>
      <c r="G284" s="315">
        <f t="shared" si="48"/>
        <v>0</v>
      </c>
      <c r="H284" s="315">
        <f t="shared" si="49"/>
        <v>0</v>
      </c>
      <c r="I284" s="1462">
        <v>0</v>
      </c>
      <c r="J284" s="1462">
        <v>0</v>
      </c>
      <c r="K284" s="315"/>
      <c r="L284" s="315"/>
      <c r="M284" s="315">
        <f t="shared" si="46"/>
        <v>0</v>
      </c>
      <c r="N284" s="315">
        <f t="shared" si="50"/>
        <v>0</v>
      </c>
    </row>
    <row r="285" spans="1:14" ht="15.5" hidden="1" customHeight="1" outlineLevel="1" thickBot="1" x14ac:dyDescent="0.4">
      <c r="A285" s="1301">
        <f t="shared" si="52"/>
        <v>8</v>
      </c>
      <c r="B285" s="1319" t="str">
        <f t="shared" si="52"/>
        <v>Furniture &amp; Fixture</v>
      </c>
      <c r="C285" s="1427">
        <f t="shared" si="52"/>
        <v>0</v>
      </c>
      <c r="D285" s="1464">
        <f t="shared" si="52"/>
        <v>0</v>
      </c>
      <c r="E285" s="1465">
        <f t="shared" si="52"/>
        <v>0</v>
      </c>
      <c r="F285" s="315">
        <f t="shared" si="47"/>
        <v>3.4999940000000002E-3</v>
      </c>
      <c r="G285" s="315">
        <f t="shared" si="48"/>
        <v>3.4999940000000002E-3</v>
      </c>
      <c r="H285" s="315">
        <f t="shared" si="49"/>
        <v>0</v>
      </c>
      <c r="I285" s="1462">
        <v>0</v>
      </c>
      <c r="J285" s="1462">
        <v>0.09</v>
      </c>
      <c r="K285" s="315"/>
      <c r="L285" s="315"/>
      <c r="M285" s="315">
        <f t="shared" si="46"/>
        <v>0.09</v>
      </c>
      <c r="N285" s="315">
        <f t="shared" si="50"/>
        <v>-0.09</v>
      </c>
    </row>
    <row r="286" spans="1:14" ht="15.5" hidden="1" customHeight="1" outlineLevel="1" thickBot="1" x14ac:dyDescent="0.4">
      <c r="A286" s="1301">
        <f t="shared" si="52"/>
        <v>9</v>
      </c>
      <c r="B286" s="1319" t="str">
        <f t="shared" si="52"/>
        <v xml:space="preserve">Office Equipment </v>
      </c>
      <c r="C286" s="1427">
        <f t="shared" si="52"/>
        <v>0</v>
      </c>
      <c r="D286" s="1464">
        <f t="shared" si="52"/>
        <v>0</v>
      </c>
      <c r="E286" s="1465">
        <f t="shared" si="52"/>
        <v>0</v>
      </c>
      <c r="F286" s="315">
        <f t="shared" si="47"/>
        <v>0.258863014</v>
      </c>
      <c r="G286" s="315">
        <f t="shared" si="48"/>
        <v>0.258863014</v>
      </c>
      <c r="H286" s="315">
        <f t="shared" si="49"/>
        <v>0</v>
      </c>
      <c r="I286" s="1462">
        <v>0</v>
      </c>
      <c r="J286" s="1462">
        <v>0</v>
      </c>
      <c r="K286" s="315"/>
      <c r="L286" s="315"/>
      <c r="M286" s="315">
        <f t="shared" si="46"/>
        <v>0</v>
      </c>
      <c r="N286" s="315">
        <f t="shared" si="50"/>
        <v>0</v>
      </c>
    </row>
    <row r="287" spans="1:14" ht="15.5" hidden="1" customHeight="1" outlineLevel="1" thickBot="1" x14ac:dyDescent="0.4">
      <c r="A287" s="1301">
        <f t="shared" si="52"/>
        <v>10</v>
      </c>
      <c r="B287" s="1319" t="str">
        <f t="shared" si="52"/>
        <v>Furniture &amp; Fixture</v>
      </c>
      <c r="C287" s="1427">
        <f t="shared" si="52"/>
        <v>0</v>
      </c>
      <c r="D287" s="1464">
        <f t="shared" si="52"/>
        <v>0</v>
      </c>
      <c r="E287" s="1465">
        <f t="shared" si="52"/>
        <v>0</v>
      </c>
      <c r="F287" s="315">
        <f t="shared" si="47"/>
        <v>0.20719743600000001</v>
      </c>
      <c r="G287" s="315">
        <f t="shared" si="48"/>
        <v>0.20719743600000001</v>
      </c>
      <c r="H287" s="315">
        <f t="shared" si="49"/>
        <v>0</v>
      </c>
      <c r="I287" s="1462">
        <v>0</v>
      </c>
      <c r="J287" s="1462">
        <v>0</v>
      </c>
      <c r="K287" s="315"/>
      <c r="L287" s="315"/>
      <c r="M287" s="315">
        <f t="shared" si="46"/>
        <v>0</v>
      </c>
      <c r="N287" s="315">
        <f t="shared" si="50"/>
        <v>0</v>
      </c>
    </row>
    <row r="288" spans="1:14" s="1334" customFormat="1" ht="15.5" hidden="1" customHeight="1" outlineLevel="1" thickBot="1" x14ac:dyDescent="0.4">
      <c r="A288" s="1301">
        <f t="shared" si="52"/>
        <v>11</v>
      </c>
      <c r="B288" s="1319" t="str">
        <f t="shared" si="52"/>
        <v xml:space="preserve">Office Equipment </v>
      </c>
      <c r="C288" s="1427">
        <f t="shared" si="52"/>
        <v>0</v>
      </c>
      <c r="D288" s="1464">
        <f t="shared" si="52"/>
        <v>0</v>
      </c>
      <c r="E288" s="1465">
        <f t="shared" si="52"/>
        <v>0</v>
      </c>
      <c r="F288" s="315">
        <f t="shared" si="47"/>
        <v>6.3896999999999999E-3</v>
      </c>
      <c r="G288" s="315">
        <f t="shared" si="48"/>
        <v>6.3896999999999999E-3</v>
      </c>
      <c r="H288" s="315">
        <f t="shared" si="49"/>
        <v>0</v>
      </c>
      <c r="I288" s="1462">
        <v>0</v>
      </c>
      <c r="J288" s="1462">
        <v>0</v>
      </c>
      <c r="K288" s="315"/>
      <c r="L288" s="315"/>
      <c r="M288" s="315">
        <f t="shared" si="46"/>
        <v>0</v>
      </c>
      <c r="N288" s="315">
        <f t="shared" si="50"/>
        <v>0</v>
      </c>
    </row>
    <row r="289" spans="1:16" s="1334" customFormat="1" ht="16" hidden="1" outlineLevel="1" thickBot="1" x14ac:dyDescent="0.4">
      <c r="A289" s="1301">
        <f t="shared" si="52"/>
        <v>12</v>
      </c>
      <c r="B289" s="1319" t="str">
        <f t="shared" si="52"/>
        <v>Land</v>
      </c>
      <c r="C289" s="1427">
        <f t="shared" si="52"/>
        <v>0</v>
      </c>
      <c r="D289" s="1464">
        <f t="shared" si="52"/>
        <v>0</v>
      </c>
      <c r="E289" s="1465">
        <f t="shared" si="52"/>
        <v>0</v>
      </c>
      <c r="F289" s="315">
        <f t="shared" si="47"/>
        <v>0</v>
      </c>
      <c r="G289" s="315">
        <f t="shared" si="48"/>
        <v>0.19434199999999999</v>
      </c>
      <c r="H289" s="315">
        <f t="shared" si="49"/>
        <v>-0.19434199999999999</v>
      </c>
      <c r="I289" s="1462">
        <v>0</v>
      </c>
      <c r="J289" s="1462">
        <v>0</v>
      </c>
      <c r="K289" s="315"/>
      <c r="L289" s="315"/>
      <c r="M289" s="315">
        <f t="shared" si="46"/>
        <v>0</v>
      </c>
      <c r="N289" s="315">
        <f t="shared" si="50"/>
        <v>-0.19434199999999999</v>
      </c>
    </row>
    <row r="290" spans="1:16" ht="15.5" collapsed="1" thickBot="1" x14ac:dyDescent="0.3">
      <c r="A290" s="1330"/>
      <c r="B290" s="1331" t="str">
        <f>B195</f>
        <v>Total</v>
      </c>
      <c r="C290" s="1332"/>
      <c r="D290" s="1333"/>
      <c r="E290" s="1466"/>
      <c r="F290" s="1466">
        <f>SUM(F200:F289)</f>
        <v>56.832835094641879</v>
      </c>
      <c r="G290" s="1466">
        <f t="shared" ref="G290:N290" si="53">SUM(G200:G289)</f>
        <v>57.027177094641878</v>
      </c>
      <c r="H290" s="1466">
        <f t="shared" si="53"/>
        <v>-0.19434199999999999</v>
      </c>
      <c r="I290" s="1466">
        <f t="shared" si="53"/>
        <v>5.54</v>
      </c>
      <c r="J290" s="1466">
        <f t="shared" si="53"/>
        <v>5.63</v>
      </c>
      <c r="K290" s="1466">
        <f t="shared" si="53"/>
        <v>0</v>
      </c>
      <c r="L290" s="1466">
        <f t="shared" si="53"/>
        <v>0</v>
      </c>
      <c r="M290" s="1466">
        <f t="shared" si="53"/>
        <v>5.63</v>
      </c>
      <c r="N290" s="1466">
        <f t="shared" si="53"/>
        <v>-0.28434199999999998</v>
      </c>
    </row>
    <row r="292" spans="1:16" ht="14.5" thickBot="1" x14ac:dyDescent="0.3">
      <c r="A292" s="1445"/>
      <c r="B292" s="543" t="s">
        <v>1067</v>
      </c>
      <c r="C292" s="1446"/>
      <c r="D292" s="1447"/>
      <c r="E292" s="315"/>
      <c r="F292" s="315"/>
      <c r="G292" s="315"/>
      <c r="H292" s="315"/>
      <c r="I292" s="315"/>
      <c r="J292" s="315"/>
      <c r="K292" s="315"/>
      <c r="L292" s="315"/>
      <c r="M292" s="315"/>
      <c r="N292" s="315"/>
    </row>
    <row r="293" spans="1:16" ht="15" hidden="1" customHeight="1" outlineLevel="1" thickBot="1" x14ac:dyDescent="0.35">
      <c r="A293" s="1280"/>
      <c r="B293" s="1327" t="str">
        <f t="shared" ref="B293:E308" si="54">B198</f>
        <v>a) DPR Schemes</v>
      </c>
      <c r="C293" s="1446"/>
      <c r="D293" s="1447"/>
      <c r="E293" s="315"/>
      <c r="F293" s="315"/>
      <c r="G293" s="315"/>
      <c r="H293" s="315"/>
      <c r="I293" s="315"/>
      <c r="J293" s="315"/>
      <c r="K293" s="315"/>
      <c r="L293" s="315"/>
      <c r="M293" s="315"/>
      <c r="N293" s="315"/>
    </row>
    <row r="294" spans="1:16" ht="14" hidden="1" customHeight="1" outlineLevel="1" thickBot="1" x14ac:dyDescent="0.3">
      <c r="A294" s="1280"/>
      <c r="B294" s="1282" t="str">
        <f t="shared" si="54"/>
        <v>(i) In-principle approved by MERC</v>
      </c>
      <c r="C294" s="1449"/>
      <c r="D294" s="1450"/>
      <c r="E294" s="315"/>
      <c r="F294" s="315"/>
      <c r="G294" s="315"/>
      <c r="H294" s="315"/>
      <c r="I294" s="315"/>
      <c r="J294" s="315"/>
      <c r="K294" s="315"/>
      <c r="L294" s="315"/>
      <c r="M294" s="315"/>
      <c r="N294" s="315"/>
    </row>
    <row r="295" spans="1:16" ht="31" hidden="1" customHeight="1" outlineLevel="1" thickBot="1" x14ac:dyDescent="0.3">
      <c r="A295" s="1406">
        <f>A200</f>
        <v>1</v>
      </c>
      <c r="B295" s="1407" t="str">
        <f t="shared" si="54"/>
        <v>Replacement of economizer &amp; LTSH coils at Unit # 2</v>
      </c>
      <c r="C295" s="1406" t="str">
        <f t="shared" si="54"/>
        <v>MERC/CAPEX/20122013/00179</v>
      </c>
      <c r="D295" s="1451">
        <f t="shared" si="54"/>
        <v>41022</v>
      </c>
      <c r="E295" s="1452">
        <f t="shared" si="54"/>
        <v>10.177999999999999</v>
      </c>
      <c r="F295" s="1452">
        <f t="shared" ref="F295:F358" si="55">F200+I200</f>
        <v>0</v>
      </c>
      <c r="G295" s="1452">
        <f t="shared" ref="G295:G358" si="56">G200+M200</f>
        <v>0</v>
      </c>
      <c r="H295" s="1452">
        <f t="shared" ref="H295:H358" si="57">F295-G295</f>
        <v>0</v>
      </c>
      <c r="I295" s="1452">
        <v>0</v>
      </c>
      <c r="J295" s="1452">
        <v>0</v>
      </c>
      <c r="K295" s="1452"/>
      <c r="L295" s="1452"/>
      <c r="M295" s="1452">
        <f t="shared" ref="M295" si="58">SUM(J295:L295)</f>
        <v>0</v>
      </c>
      <c r="N295" s="1452">
        <f t="shared" ref="N295:N358" si="59">H295+I295-M295</f>
        <v>0</v>
      </c>
      <c r="O295" s="1453">
        <f t="shared" ref="O295:O356" si="60">MAX(0,IF(M295=0,0,IF(G295+M295&lt;E295,M295,E295-G295)))</f>
        <v>0</v>
      </c>
      <c r="P295" s="1328">
        <f t="shared" ref="P295:P356" si="61">M295-O295</f>
        <v>0</v>
      </c>
    </row>
    <row r="296" spans="1:16" ht="15.5" hidden="1" customHeight="1" outlineLevel="1" thickBot="1" x14ac:dyDescent="0.3">
      <c r="A296" s="1411">
        <f>A201</f>
        <v>1.1000000000000001</v>
      </c>
      <c r="B296" s="1412" t="str">
        <f t="shared" si="54"/>
        <v>Replacement of Economiser Coil</v>
      </c>
      <c r="C296" s="1411" t="str">
        <f t="shared" si="54"/>
        <v>MERC/CAPEX/20122013/00179</v>
      </c>
      <c r="D296" s="1454">
        <f t="shared" si="54"/>
        <v>41022</v>
      </c>
      <c r="E296" s="1414">
        <f t="shared" si="54"/>
        <v>3.524</v>
      </c>
      <c r="F296" s="1452">
        <f t="shared" si="55"/>
        <v>3.47</v>
      </c>
      <c r="G296" s="1452">
        <f t="shared" si="56"/>
        <v>3.47</v>
      </c>
      <c r="H296" s="1452">
        <f t="shared" si="57"/>
        <v>0</v>
      </c>
      <c r="I296" s="1452">
        <v>0</v>
      </c>
      <c r="J296" s="1452">
        <v>0</v>
      </c>
      <c r="K296" s="1414"/>
      <c r="L296" s="1414"/>
      <c r="M296" s="1414">
        <f t="shared" ref="M296:M356" si="62">SUM(J296:L296)</f>
        <v>0</v>
      </c>
      <c r="N296" s="1414">
        <f t="shared" si="59"/>
        <v>0</v>
      </c>
      <c r="O296" s="1453">
        <f t="shared" si="60"/>
        <v>0</v>
      </c>
      <c r="P296" s="1328">
        <f t="shared" si="61"/>
        <v>0</v>
      </c>
    </row>
    <row r="297" spans="1:16" ht="15.5" hidden="1" customHeight="1" outlineLevel="1" thickBot="1" x14ac:dyDescent="0.3">
      <c r="A297" s="1411"/>
      <c r="B297" s="1412" t="str">
        <f t="shared" si="54"/>
        <v>IDC</v>
      </c>
      <c r="C297" s="1411" t="str">
        <f t="shared" si="54"/>
        <v>MERC/CAPEX/20122013/00179</v>
      </c>
      <c r="D297" s="1454">
        <f t="shared" si="54"/>
        <v>41022</v>
      </c>
      <c r="E297" s="1414">
        <f t="shared" si="54"/>
        <v>0.20300000000000001</v>
      </c>
      <c r="F297" s="1452">
        <f t="shared" si="55"/>
        <v>0</v>
      </c>
      <c r="G297" s="1452">
        <f t="shared" si="56"/>
        <v>0</v>
      </c>
      <c r="H297" s="1452">
        <f t="shared" si="57"/>
        <v>0</v>
      </c>
      <c r="I297" s="1452">
        <v>0</v>
      </c>
      <c r="J297" s="1452">
        <v>0</v>
      </c>
      <c r="K297" s="1414"/>
      <c r="L297" s="1414"/>
      <c r="M297" s="1414">
        <f t="shared" si="62"/>
        <v>0</v>
      </c>
      <c r="N297" s="1414">
        <f t="shared" si="59"/>
        <v>0</v>
      </c>
      <c r="O297" s="1453">
        <f t="shared" si="60"/>
        <v>0</v>
      </c>
      <c r="P297" s="1328">
        <f t="shared" si="61"/>
        <v>0</v>
      </c>
    </row>
    <row r="298" spans="1:16" ht="15.5" hidden="1" customHeight="1" outlineLevel="1" thickBot="1" x14ac:dyDescent="0.3">
      <c r="A298" s="1411">
        <f>A203</f>
        <v>1.2</v>
      </c>
      <c r="B298" s="1412" t="str">
        <f t="shared" si="54"/>
        <v>Replacement of LTSH Coil</v>
      </c>
      <c r="C298" s="1411" t="str">
        <f t="shared" si="54"/>
        <v>MERC/CAPEX/20122013/00179</v>
      </c>
      <c r="D298" s="1454">
        <f t="shared" si="54"/>
        <v>41022</v>
      </c>
      <c r="E298" s="1414">
        <f t="shared" si="54"/>
        <v>6.0940000000000003</v>
      </c>
      <c r="F298" s="1452">
        <f t="shared" si="55"/>
        <v>5.32</v>
      </c>
      <c r="G298" s="1452">
        <f t="shared" si="56"/>
        <v>5.32</v>
      </c>
      <c r="H298" s="1452">
        <f t="shared" si="57"/>
        <v>0</v>
      </c>
      <c r="I298" s="1452">
        <v>0</v>
      </c>
      <c r="J298" s="1452">
        <v>0</v>
      </c>
      <c r="K298" s="1414"/>
      <c r="L298" s="1414"/>
      <c r="M298" s="1414">
        <f t="shared" si="62"/>
        <v>0</v>
      </c>
      <c r="N298" s="1414">
        <f t="shared" si="59"/>
        <v>0</v>
      </c>
      <c r="O298" s="1453">
        <f t="shared" si="60"/>
        <v>0</v>
      </c>
      <c r="P298" s="1328">
        <f t="shared" si="61"/>
        <v>0</v>
      </c>
    </row>
    <row r="299" spans="1:16" ht="15.5" hidden="1" customHeight="1" outlineLevel="1" thickBot="1" x14ac:dyDescent="0.3">
      <c r="A299" s="1411"/>
      <c r="B299" s="1412" t="str">
        <f t="shared" si="54"/>
        <v>IDC</v>
      </c>
      <c r="C299" s="1411" t="str">
        <f t="shared" si="54"/>
        <v>MERC/CAPEX/20122013/00179</v>
      </c>
      <c r="D299" s="1454">
        <f t="shared" si="54"/>
        <v>41022</v>
      </c>
      <c r="E299" s="1414">
        <f t="shared" si="54"/>
        <v>0.35699999999999998</v>
      </c>
      <c r="F299" s="1452">
        <f t="shared" si="55"/>
        <v>0</v>
      </c>
      <c r="G299" s="1452">
        <f t="shared" si="56"/>
        <v>0</v>
      </c>
      <c r="H299" s="1452">
        <f t="shared" si="57"/>
        <v>0</v>
      </c>
      <c r="I299" s="1452">
        <v>0</v>
      </c>
      <c r="J299" s="1452">
        <v>0</v>
      </c>
      <c r="K299" s="1414"/>
      <c r="L299" s="1414"/>
      <c r="M299" s="1414">
        <f t="shared" si="62"/>
        <v>0</v>
      </c>
      <c r="N299" s="1414">
        <f t="shared" si="59"/>
        <v>0</v>
      </c>
      <c r="O299" s="1453">
        <f t="shared" si="60"/>
        <v>0</v>
      </c>
      <c r="P299" s="1328">
        <f t="shared" si="61"/>
        <v>0</v>
      </c>
    </row>
    <row r="300" spans="1:16" ht="31" hidden="1" customHeight="1" outlineLevel="1" thickBot="1" x14ac:dyDescent="0.3">
      <c r="A300" s="1406">
        <f t="shared" ref="A300:A307" si="63">A205</f>
        <v>2</v>
      </c>
      <c r="B300" s="1407" t="str">
        <f t="shared" si="54"/>
        <v>Boiler and Turbine improvement
(Station Heat Rate Improvement)</v>
      </c>
      <c r="C300" s="1406" t="str">
        <f t="shared" si="54"/>
        <v>MERC/TECH 1/CAPEX/20122013/02325</v>
      </c>
      <c r="D300" s="1451">
        <f t="shared" si="54"/>
        <v>41285</v>
      </c>
      <c r="E300" s="1452">
        <f t="shared" si="54"/>
        <v>16.783805100000002</v>
      </c>
      <c r="F300" s="1452">
        <f t="shared" si="55"/>
        <v>0</v>
      </c>
      <c r="G300" s="1452">
        <f t="shared" si="56"/>
        <v>0</v>
      </c>
      <c r="H300" s="1452">
        <f t="shared" si="57"/>
        <v>0</v>
      </c>
      <c r="I300" s="1452">
        <v>0</v>
      </c>
      <c r="J300" s="1452">
        <v>0</v>
      </c>
      <c r="K300" s="1452"/>
      <c r="L300" s="1452"/>
      <c r="M300" s="1452">
        <f t="shared" si="62"/>
        <v>0</v>
      </c>
      <c r="N300" s="1452">
        <f t="shared" si="59"/>
        <v>0</v>
      </c>
      <c r="O300" s="1453">
        <f t="shared" si="60"/>
        <v>0</v>
      </c>
      <c r="P300" s="1328">
        <f t="shared" si="61"/>
        <v>0</v>
      </c>
    </row>
    <row r="301" spans="1:16" ht="31" hidden="1" customHeight="1" outlineLevel="1" thickBot="1" x14ac:dyDescent="0.3">
      <c r="A301" s="1411">
        <f t="shared" si="63"/>
        <v>2.1</v>
      </c>
      <c r="B301" s="1412" t="str">
        <f t="shared" si="54"/>
        <v>Vent condenser performance improvement by replacement of eroded tube nest by unit 3.</v>
      </c>
      <c r="C301" s="1411" t="str">
        <f t="shared" si="54"/>
        <v>MERC/TECH 1/CAPEX/20122013/02325</v>
      </c>
      <c r="D301" s="1454">
        <f t="shared" si="54"/>
        <v>41285</v>
      </c>
      <c r="E301" s="1414">
        <f t="shared" si="54"/>
        <v>0.28599999999999998</v>
      </c>
      <c r="F301" s="1452">
        <f t="shared" si="55"/>
        <v>0</v>
      </c>
      <c r="G301" s="1452">
        <f t="shared" si="56"/>
        <v>0</v>
      </c>
      <c r="H301" s="1452">
        <f t="shared" si="57"/>
        <v>0</v>
      </c>
      <c r="I301" s="1452">
        <v>0</v>
      </c>
      <c r="J301" s="1452">
        <v>0</v>
      </c>
      <c r="K301" s="1414"/>
      <c r="L301" s="1414"/>
      <c r="M301" s="1414">
        <f t="shared" si="62"/>
        <v>0</v>
      </c>
      <c r="N301" s="1414">
        <f t="shared" si="59"/>
        <v>0</v>
      </c>
      <c r="O301" s="1453">
        <f t="shared" si="60"/>
        <v>0</v>
      </c>
      <c r="P301" s="1328">
        <f t="shared" si="61"/>
        <v>0</v>
      </c>
    </row>
    <row r="302" spans="1:16" ht="31" hidden="1" customHeight="1" outlineLevel="1" thickBot="1" x14ac:dyDescent="0.3">
      <c r="A302" s="1411">
        <f t="shared" si="63"/>
        <v>2.2000000000000002</v>
      </c>
      <c r="B302" s="1412" t="str">
        <f t="shared" si="54"/>
        <v>Replacement of major extraction valves &amp;NRVs of unit 3</v>
      </c>
      <c r="C302" s="1411" t="str">
        <f t="shared" si="54"/>
        <v>MERC/TECH 1/CAPEX/20122013/02325</v>
      </c>
      <c r="D302" s="1454">
        <f t="shared" si="54"/>
        <v>41285</v>
      </c>
      <c r="E302" s="1414">
        <f t="shared" si="54"/>
        <v>0.51900000000000002</v>
      </c>
      <c r="F302" s="1452">
        <f t="shared" si="55"/>
        <v>0</v>
      </c>
      <c r="G302" s="1452">
        <f t="shared" si="56"/>
        <v>0</v>
      </c>
      <c r="H302" s="1452">
        <f t="shared" si="57"/>
        <v>0</v>
      </c>
      <c r="I302" s="1452">
        <v>0</v>
      </c>
      <c r="J302" s="1452">
        <v>0</v>
      </c>
      <c r="K302" s="1414"/>
      <c r="L302" s="1414"/>
      <c r="M302" s="1414">
        <f t="shared" si="62"/>
        <v>0</v>
      </c>
      <c r="N302" s="1414">
        <f t="shared" si="59"/>
        <v>0</v>
      </c>
      <c r="O302" s="1453">
        <f t="shared" si="60"/>
        <v>0</v>
      </c>
      <c r="P302" s="1328">
        <f t="shared" si="61"/>
        <v>0</v>
      </c>
    </row>
    <row r="303" spans="1:16" ht="31" hidden="1" customHeight="1" outlineLevel="1" thickBot="1" x14ac:dyDescent="0.3">
      <c r="A303" s="1411">
        <f t="shared" si="63"/>
        <v>2.2999999999999998</v>
      </c>
      <c r="B303" s="1412" t="str">
        <f t="shared" si="54"/>
        <v>60% replacement of boiler skin insulation (Unit 2)</v>
      </c>
      <c r="C303" s="1411" t="str">
        <f t="shared" si="54"/>
        <v>MERC/TECH 1/CAPEX/20122013/02325</v>
      </c>
      <c r="D303" s="1454">
        <f t="shared" si="54"/>
        <v>41285</v>
      </c>
      <c r="E303" s="1414">
        <f t="shared" si="54"/>
        <v>0.29299999999999998</v>
      </c>
      <c r="F303" s="1452">
        <f t="shared" si="55"/>
        <v>0</v>
      </c>
      <c r="G303" s="1452">
        <f t="shared" si="56"/>
        <v>0</v>
      </c>
      <c r="H303" s="1452">
        <f t="shared" si="57"/>
        <v>0</v>
      </c>
      <c r="I303" s="1452">
        <v>0</v>
      </c>
      <c r="J303" s="1452">
        <v>0</v>
      </c>
      <c r="K303" s="1414"/>
      <c r="L303" s="1414"/>
      <c r="M303" s="1414">
        <f t="shared" si="62"/>
        <v>0</v>
      </c>
      <c r="N303" s="1414">
        <f t="shared" si="59"/>
        <v>0</v>
      </c>
      <c r="O303" s="1453">
        <f t="shared" si="60"/>
        <v>0</v>
      </c>
      <c r="P303" s="1328">
        <f t="shared" si="61"/>
        <v>0</v>
      </c>
    </row>
    <row r="304" spans="1:16" ht="31" hidden="1" customHeight="1" outlineLevel="1" thickBot="1" x14ac:dyDescent="0.3">
      <c r="A304" s="1411">
        <f t="shared" si="63"/>
        <v>2.4</v>
      </c>
      <c r="B304" s="1412" t="str">
        <f t="shared" si="54"/>
        <v>Replacement of DM make up ( unit 3) and GSH water pump.( units 2 &amp;3)</v>
      </c>
      <c r="C304" s="1411" t="str">
        <f t="shared" si="54"/>
        <v>MERC/TECH 1/CAPEX/20122013/02325</v>
      </c>
      <c r="D304" s="1454">
        <f t="shared" si="54"/>
        <v>41285</v>
      </c>
      <c r="E304" s="1414">
        <f t="shared" si="54"/>
        <v>0.20599999999999999</v>
      </c>
      <c r="F304" s="1452">
        <f t="shared" si="55"/>
        <v>0.26354099999999997</v>
      </c>
      <c r="G304" s="1452">
        <f t="shared" si="56"/>
        <v>0.26354099999999997</v>
      </c>
      <c r="H304" s="1452">
        <f t="shared" si="57"/>
        <v>0</v>
      </c>
      <c r="I304" s="1452">
        <v>0</v>
      </c>
      <c r="J304" s="1452">
        <v>0</v>
      </c>
      <c r="K304" s="1414"/>
      <c r="L304" s="1414"/>
      <c r="M304" s="1414">
        <f t="shared" si="62"/>
        <v>0</v>
      </c>
      <c r="N304" s="1414">
        <f t="shared" si="59"/>
        <v>0</v>
      </c>
      <c r="O304" s="1453">
        <f t="shared" si="60"/>
        <v>0</v>
      </c>
      <c r="P304" s="1328">
        <f t="shared" si="61"/>
        <v>0</v>
      </c>
    </row>
    <row r="305" spans="1:16" ht="31" hidden="1" customHeight="1" outlineLevel="1" thickBot="1" x14ac:dyDescent="0.3">
      <c r="A305" s="1411">
        <f t="shared" si="63"/>
        <v>2.5</v>
      </c>
      <c r="B305" s="1412" t="str">
        <f t="shared" si="54"/>
        <v>Replacement of LTSH coils (unit 3)</v>
      </c>
      <c r="C305" s="1411" t="str">
        <f t="shared" si="54"/>
        <v>MERC/TECH 1/CAPEX/20122013/02325</v>
      </c>
      <c r="D305" s="1454">
        <f t="shared" si="54"/>
        <v>41285</v>
      </c>
      <c r="E305" s="1414">
        <f t="shared" si="54"/>
        <v>8.3689999999999998</v>
      </c>
      <c r="F305" s="1452">
        <f t="shared" si="55"/>
        <v>5.319992955</v>
      </c>
      <c r="G305" s="1452">
        <f t="shared" si="56"/>
        <v>5.319992955</v>
      </c>
      <c r="H305" s="1452">
        <f t="shared" si="57"/>
        <v>0</v>
      </c>
      <c r="I305" s="1452">
        <v>0</v>
      </c>
      <c r="J305" s="1452">
        <v>0</v>
      </c>
      <c r="K305" s="1414"/>
      <c r="L305" s="1414"/>
      <c r="M305" s="1414">
        <f t="shared" si="62"/>
        <v>0</v>
      </c>
      <c r="N305" s="1414">
        <f t="shared" si="59"/>
        <v>0</v>
      </c>
      <c r="O305" s="1453">
        <f t="shared" si="60"/>
        <v>0</v>
      </c>
      <c r="P305" s="1328">
        <f t="shared" si="61"/>
        <v>0</v>
      </c>
    </row>
    <row r="306" spans="1:16" ht="31" hidden="1" customHeight="1" outlineLevel="1" thickBot="1" x14ac:dyDescent="0.3">
      <c r="A306" s="1411">
        <f t="shared" si="63"/>
        <v>2.6</v>
      </c>
      <c r="B306" s="1412" t="str">
        <f t="shared" si="54"/>
        <v>Replacement of ECO coils (unit 3)</v>
      </c>
      <c r="C306" s="1411" t="str">
        <f t="shared" si="54"/>
        <v>MERC/TECH 1/CAPEX/20122013/02325</v>
      </c>
      <c r="D306" s="1454">
        <f t="shared" si="54"/>
        <v>41285</v>
      </c>
      <c r="E306" s="1414">
        <f t="shared" si="54"/>
        <v>6.032</v>
      </c>
      <c r="F306" s="1452">
        <f t="shared" si="55"/>
        <v>3.47281854</v>
      </c>
      <c r="G306" s="1452">
        <f t="shared" si="56"/>
        <v>3.47281854</v>
      </c>
      <c r="H306" s="1452">
        <f t="shared" si="57"/>
        <v>0</v>
      </c>
      <c r="I306" s="1452">
        <v>0</v>
      </c>
      <c r="J306" s="1452">
        <v>0</v>
      </c>
      <c r="K306" s="1414"/>
      <c r="L306" s="1414"/>
      <c r="M306" s="1414">
        <f t="shared" si="62"/>
        <v>0</v>
      </c>
      <c r="N306" s="1414">
        <f t="shared" si="59"/>
        <v>0</v>
      </c>
      <c r="O306" s="1453">
        <f t="shared" si="60"/>
        <v>0</v>
      </c>
      <c r="P306" s="1328">
        <f t="shared" si="61"/>
        <v>0</v>
      </c>
    </row>
    <row r="307" spans="1:16" ht="31" hidden="1" customHeight="1" outlineLevel="1" thickBot="1" x14ac:dyDescent="0.3">
      <c r="A307" s="1411">
        <f t="shared" si="63"/>
        <v>2.7</v>
      </c>
      <c r="B307" s="1412" t="str">
        <f t="shared" si="54"/>
        <v>Replacement of old LT AHP pump impeller by energy efficient stainless steel impeller</v>
      </c>
      <c r="C307" s="1411" t="str">
        <f t="shared" si="54"/>
        <v>MERC/TECH 1/CAPEX/20122013/02325</v>
      </c>
      <c r="D307" s="1454">
        <f t="shared" si="54"/>
        <v>41285</v>
      </c>
      <c r="E307" s="1414">
        <f t="shared" si="54"/>
        <v>0.1488051</v>
      </c>
      <c r="F307" s="1452">
        <f t="shared" si="55"/>
        <v>0.1488051</v>
      </c>
      <c r="G307" s="1452">
        <f t="shared" si="56"/>
        <v>0.1488051</v>
      </c>
      <c r="H307" s="1452">
        <f t="shared" si="57"/>
        <v>0</v>
      </c>
      <c r="I307" s="1452">
        <v>0</v>
      </c>
      <c r="J307" s="1452">
        <v>0</v>
      </c>
      <c r="K307" s="1414"/>
      <c r="L307" s="1414"/>
      <c r="M307" s="1414">
        <f t="shared" si="62"/>
        <v>0</v>
      </c>
      <c r="N307" s="1414">
        <f t="shared" si="59"/>
        <v>0</v>
      </c>
      <c r="O307" s="1453">
        <f t="shared" si="60"/>
        <v>0</v>
      </c>
      <c r="P307" s="1328">
        <f t="shared" si="61"/>
        <v>0</v>
      </c>
    </row>
    <row r="308" spans="1:16" ht="31" hidden="1" customHeight="1" outlineLevel="1" thickBot="1" x14ac:dyDescent="0.3">
      <c r="A308" s="1416"/>
      <c r="B308" s="1412" t="str">
        <f t="shared" si="54"/>
        <v>IDC</v>
      </c>
      <c r="C308" s="1411" t="str">
        <f t="shared" si="54"/>
        <v>MERC/TECH 1/CAPEX/20122013/02325</v>
      </c>
      <c r="D308" s="1454">
        <f t="shared" si="54"/>
        <v>41285</v>
      </c>
      <c r="E308" s="1455">
        <f t="shared" si="54"/>
        <v>0.93</v>
      </c>
      <c r="F308" s="1452">
        <f t="shared" si="55"/>
        <v>0</v>
      </c>
      <c r="G308" s="1452">
        <f t="shared" si="56"/>
        <v>0</v>
      </c>
      <c r="H308" s="1452">
        <f t="shared" si="57"/>
        <v>0</v>
      </c>
      <c r="I308" s="1452">
        <v>0</v>
      </c>
      <c r="J308" s="1452">
        <v>0</v>
      </c>
      <c r="K308" s="1455"/>
      <c r="L308" s="1455"/>
      <c r="M308" s="1455">
        <f t="shared" si="62"/>
        <v>0</v>
      </c>
      <c r="N308" s="1455">
        <f t="shared" si="59"/>
        <v>0</v>
      </c>
      <c r="O308" s="1453">
        <f t="shared" si="60"/>
        <v>0</v>
      </c>
      <c r="P308" s="1328">
        <f t="shared" si="61"/>
        <v>0</v>
      </c>
    </row>
    <row r="309" spans="1:16" ht="31" hidden="1" customHeight="1" outlineLevel="1" thickBot="1" x14ac:dyDescent="0.3">
      <c r="A309" s="1406">
        <f t="shared" ref="A309:E324" si="64">A214</f>
        <v>3</v>
      </c>
      <c r="B309" s="1407" t="str">
        <f t="shared" si="64"/>
        <v>Measuring and Monitoring of Coal consumption</v>
      </c>
      <c r="C309" s="1406" t="str">
        <f t="shared" si="64"/>
        <v>MERC/CAPEX/20122013/00912</v>
      </c>
      <c r="D309" s="1451">
        <f t="shared" si="64"/>
        <v>41114</v>
      </c>
      <c r="E309" s="1452">
        <f t="shared" si="64"/>
        <v>45.918030000000002</v>
      </c>
      <c r="F309" s="1452">
        <f t="shared" si="55"/>
        <v>0</v>
      </c>
      <c r="G309" s="1452">
        <f t="shared" si="56"/>
        <v>0</v>
      </c>
      <c r="H309" s="1452">
        <f t="shared" si="57"/>
        <v>0</v>
      </c>
      <c r="I309" s="1452">
        <v>0</v>
      </c>
      <c r="J309" s="1452">
        <v>0</v>
      </c>
      <c r="K309" s="1452"/>
      <c r="L309" s="1452"/>
      <c r="M309" s="1452">
        <f t="shared" si="62"/>
        <v>0</v>
      </c>
      <c r="N309" s="1452">
        <f t="shared" si="59"/>
        <v>0</v>
      </c>
      <c r="O309" s="1453">
        <f t="shared" si="60"/>
        <v>0</v>
      </c>
      <c r="P309" s="1328">
        <f t="shared" si="61"/>
        <v>0</v>
      </c>
    </row>
    <row r="310" spans="1:16" ht="15.5" hidden="1" customHeight="1" outlineLevel="1" thickBot="1" x14ac:dyDescent="0.3">
      <c r="A310" s="1416">
        <f t="shared" si="64"/>
        <v>3.1</v>
      </c>
      <c r="B310" s="1412" t="str">
        <f t="shared" si="64"/>
        <v>Belt Weighers</v>
      </c>
      <c r="C310" s="1416" t="str">
        <f t="shared" si="64"/>
        <v>MERC/CAPEX/20122013/00912</v>
      </c>
      <c r="D310" s="1456">
        <f t="shared" si="64"/>
        <v>41114</v>
      </c>
      <c r="E310" s="1414">
        <f t="shared" si="64"/>
        <v>0.8044</v>
      </c>
      <c r="F310" s="1452">
        <f t="shared" si="55"/>
        <v>0</v>
      </c>
      <c r="G310" s="1452">
        <f t="shared" si="56"/>
        <v>0</v>
      </c>
      <c r="H310" s="1452">
        <f t="shared" si="57"/>
        <v>0</v>
      </c>
      <c r="I310" s="1452">
        <v>0</v>
      </c>
      <c r="J310" s="1452">
        <v>0</v>
      </c>
      <c r="K310" s="1414"/>
      <c r="L310" s="1414"/>
      <c r="M310" s="1414">
        <f t="shared" si="62"/>
        <v>0</v>
      </c>
      <c r="N310" s="1414">
        <f t="shared" si="59"/>
        <v>0</v>
      </c>
      <c r="O310" s="1453">
        <f t="shared" si="60"/>
        <v>0</v>
      </c>
      <c r="P310" s="1328">
        <f t="shared" si="61"/>
        <v>0</v>
      </c>
    </row>
    <row r="311" spans="1:16" ht="15.5" hidden="1" customHeight="1" outlineLevel="1" thickBot="1" x14ac:dyDescent="0.3">
      <c r="A311" s="1416">
        <f t="shared" si="64"/>
        <v>3.2</v>
      </c>
      <c r="B311" s="1412" t="str">
        <f t="shared" si="64"/>
        <v xml:space="preserve">Fully automatic pit-less in motion weigh bridges </v>
      </c>
      <c r="C311" s="1416" t="str">
        <f t="shared" si="64"/>
        <v>MERC/CAPEX/20122013/00912</v>
      </c>
      <c r="D311" s="1456">
        <f t="shared" si="64"/>
        <v>41114</v>
      </c>
      <c r="E311" s="1414">
        <f t="shared" si="64"/>
        <v>0.41149999999999998</v>
      </c>
      <c r="F311" s="1452">
        <f t="shared" si="55"/>
        <v>0</v>
      </c>
      <c r="G311" s="1452">
        <f t="shared" si="56"/>
        <v>0</v>
      </c>
      <c r="H311" s="1452">
        <f t="shared" si="57"/>
        <v>0</v>
      </c>
      <c r="I311" s="1452">
        <v>0</v>
      </c>
      <c r="J311" s="1452">
        <v>0</v>
      </c>
      <c r="K311" s="1414"/>
      <c r="L311" s="1414"/>
      <c r="M311" s="1414">
        <f t="shared" si="62"/>
        <v>0</v>
      </c>
      <c r="N311" s="1414">
        <f t="shared" si="59"/>
        <v>0</v>
      </c>
      <c r="O311" s="1453">
        <f t="shared" si="60"/>
        <v>0</v>
      </c>
      <c r="P311" s="1328">
        <f t="shared" si="61"/>
        <v>0</v>
      </c>
    </row>
    <row r="312" spans="1:16" ht="15.5" hidden="1" customHeight="1" outlineLevel="1" thickBot="1" x14ac:dyDescent="0.3">
      <c r="A312" s="1416">
        <f t="shared" si="64"/>
        <v>3.3</v>
      </c>
      <c r="B312" s="1412" t="str">
        <f t="shared" si="64"/>
        <v>Installation side arm charger for Wagon tippler 1A &amp; 1B</v>
      </c>
      <c r="C312" s="1416" t="str">
        <f t="shared" si="64"/>
        <v>MERC/CAPEX/20122013/00912</v>
      </c>
      <c r="D312" s="1456">
        <f t="shared" si="64"/>
        <v>41114</v>
      </c>
      <c r="E312" s="1414">
        <f t="shared" si="64"/>
        <v>21.96</v>
      </c>
      <c r="F312" s="1452">
        <f t="shared" si="55"/>
        <v>0</v>
      </c>
      <c r="G312" s="1452">
        <f t="shared" si="56"/>
        <v>0</v>
      </c>
      <c r="H312" s="1452">
        <f t="shared" si="57"/>
        <v>0</v>
      </c>
      <c r="I312" s="1452">
        <v>0</v>
      </c>
      <c r="J312" s="1452">
        <v>0</v>
      </c>
      <c r="K312" s="1414"/>
      <c r="L312" s="1414"/>
      <c r="M312" s="1414">
        <f t="shared" si="62"/>
        <v>0</v>
      </c>
      <c r="N312" s="1414">
        <f t="shared" si="59"/>
        <v>0</v>
      </c>
      <c r="O312" s="1453">
        <f t="shared" si="60"/>
        <v>0</v>
      </c>
      <c r="P312" s="1328">
        <f t="shared" si="61"/>
        <v>0</v>
      </c>
    </row>
    <row r="313" spans="1:16" ht="31" hidden="1" customHeight="1" outlineLevel="1" thickBot="1" x14ac:dyDescent="0.3">
      <c r="A313" s="1416">
        <f t="shared" si="64"/>
        <v>3.4</v>
      </c>
      <c r="B313" s="1412" t="str">
        <f t="shared" si="64"/>
        <v>Dust Extraction System at Secondary Crusher house &amp; Conveyor 6A/B at stage II CHP</v>
      </c>
      <c r="C313" s="1416" t="str">
        <f t="shared" si="64"/>
        <v>MERC/CAPEX/20122013/00912</v>
      </c>
      <c r="D313" s="1456">
        <f t="shared" si="64"/>
        <v>41114</v>
      </c>
      <c r="E313" s="1414">
        <f t="shared" si="64"/>
        <v>2.0714999999999999</v>
      </c>
      <c r="F313" s="1452">
        <f t="shared" si="55"/>
        <v>0</v>
      </c>
      <c r="G313" s="1452">
        <f t="shared" si="56"/>
        <v>0</v>
      </c>
      <c r="H313" s="1452">
        <f t="shared" si="57"/>
        <v>0</v>
      </c>
      <c r="I313" s="1452">
        <v>0</v>
      </c>
      <c r="J313" s="1452">
        <v>0</v>
      </c>
      <c r="K313" s="1414"/>
      <c r="L313" s="1414"/>
      <c r="M313" s="1414">
        <f t="shared" si="62"/>
        <v>0</v>
      </c>
      <c r="N313" s="1414">
        <f t="shared" si="59"/>
        <v>0</v>
      </c>
      <c r="O313" s="1453">
        <f t="shared" si="60"/>
        <v>0</v>
      </c>
      <c r="P313" s="1328">
        <f t="shared" si="61"/>
        <v>0</v>
      </c>
    </row>
    <row r="314" spans="1:16" ht="93" hidden="1" customHeight="1" outlineLevel="1" thickBot="1" x14ac:dyDescent="0.3">
      <c r="A314" s="1416">
        <f t="shared" si="64"/>
        <v>3.5</v>
      </c>
      <c r="B314" s="1412" t="str">
        <f t="shared" si="64"/>
        <v>Fogging system at 
a) WT old along with PCR, SCR and bunker level belt at Stage I CHP
b) Conveyor 7A/B
c) 100 Mtrx100 Mtr Coal stock area
d) 200 Mtrx200 Mtr Coal stock area</v>
      </c>
      <c r="C314" s="1416" t="str">
        <f t="shared" si="64"/>
        <v>MERC/CAPEX/20122013/00912</v>
      </c>
      <c r="D314" s="1456">
        <f t="shared" si="64"/>
        <v>41114</v>
      </c>
      <c r="E314" s="1414">
        <f t="shared" si="64"/>
        <v>2.2831000000000001</v>
      </c>
      <c r="F314" s="1452">
        <f t="shared" si="55"/>
        <v>0.4695358</v>
      </c>
      <c r="G314" s="1452">
        <f t="shared" si="56"/>
        <v>0.4695358</v>
      </c>
      <c r="H314" s="1452">
        <f t="shared" si="57"/>
        <v>0</v>
      </c>
      <c r="I314" s="1452">
        <v>0</v>
      </c>
      <c r="J314" s="1452">
        <v>0</v>
      </c>
      <c r="K314" s="1414"/>
      <c r="L314" s="1414"/>
      <c r="M314" s="1414">
        <f t="shared" si="62"/>
        <v>0</v>
      </c>
      <c r="N314" s="1414">
        <f t="shared" si="59"/>
        <v>0</v>
      </c>
      <c r="O314" s="1453">
        <f t="shared" si="60"/>
        <v>0</v>
      </c>
      <c r="P314" s="1328">
        <f t="shared" si="61"/>
        <v>0</v>
      </c>
    </row>
    <row r="315" spans="1:16" ht="15.5" hidden="1" customHeight="1" outlineLevel="1" thickBot="1" x14ac:dyDescent="0.3">
      <c r="A315" s="1416">
        <f t="shared" si="64"/>
        <v>3.6</v>
      </c>
      <c r="B315" s="1412" t="str">
        <f t="shared" si="64"/>
        <v xml:space="preserve">Bunker level montoring system for 12 bunkers </v>
      </c>
      <c r="C315" s="1416" t="str">
        <f t="shared" si="64"/>
        <v>MERC/CAPEX/20122013/00912</v>
      </c>
      <c r="D315" s="1456">
        <f t="shared" si="64"/>
        <v>41114</v>
      </c>
      <c r="E315" s="1414">
        <f t="shared" si="64"/>
        <v>2.5038</v>
      </c>
      <c r="F315" s="1452">
        <f t="shared" si="55"/>
        <v>0</v>
      </c>
      <c r="G315" s="1452">
        <f t="shared" si="56"/>
        <v>0</v>
      </c>
      <c r="H315" s="1452">
        <f t="shared" si="57"/>
        <v>0</v>
      </c>
      <c r="I315" s="1452">
        <v>0</v>
      </c>
      <c r="J315" s="1452">
        <v>0</v>
      </c>
      <c r="K315" s="1414"/>
      <c r="L315" s="1414"/>
      <c r="M315" s="1414">
        <f t="shared" si="62"/>
        <v>0</v>
      </c>
      <c r="N315" s="1414">
        <f t="shared" si="59"/>
        <v>0</v>
      </c>
      <c r="O315" s="1453">
        <f t="shared" si="60"/>
        <v>0</v>
      </c>
      <c r="P315" s="1328">
        <f t="shared" si="61"/>
        <v>0</v>
      </c>
    </row>
    <row r="316" spans="1:16" ht="15.5" hidden="1" customHeight="1" outlineLevel="1" thickBot="1" x14ac:dyDescent="0.3">
      <c r="A316" s="1416">
        <f t="shared" si="64"/>
        <v>3.7</v>
      </c>
      <c r="B316" s="1412" t="str">
        <f t="shared" si="64"/>
        <v xml:space="preserve">Rotary pneumatic or electrical hammers </v>
      </c>
      <c r="C316" s="1416" t="str">
        <f t="shared" si="64"/>
        <v>MERC/CAPEX/20122013/00912</v>
      </c>
      <c r="D316" s="1456">
        <f t="shared" si="64"/>
        <v>41114</v>
      </c>
      <c r="E316" s="1414">
        <f t="shared" si="64"/>
        <v>9.7000000000000003E-2</v>
      </c>
      <c r="F316" s="1452">
        <f t="shared" si="55"/>
        <v>0</v>
      </c>
      <c r="G316" s="1452">
        <f t="shared" si="56"/>
        <v>0</v>
      </c>
      <c r="H316" s="1452">
        <f t="shared" si="57"/>
        <v>0</v>
      </c>
      <c r="I316" s="1452">
        <v>0</v>
      </c>
      <c r="J316" s="1452">
        <v>0</v>
      </c>
      <c r="K316" s="1414"/>
      <c r="L316" s="1414"/>
      <c r="M316" s="1414">
        <f t="shared" si="62"/>
        <v>0</v>
      </c>
      <c r="N316" s="1414">
        <f t="shared" si="59"/>
        <v>0</v>
      </c>
      <c r="O316" s="1453">
        <f t="shared" si="60"/>
        <v>0</v>
      </c>
      <c r="P316" s="1328">
        <f t="shared" si="61"/>
        <v>0</v>
      </c>
    </row>
    <row r="317" spans="1:16" ht="31" hidden="1" customHeight="1" outlineLevel="1" thickBot="1" x14ac:dyDescent="0.3">
      <c r="A317" s="1416">
        <f t="shared" si="64"/>
        <v>3.8</v>
      </c>
      <c r="B317" s="1412" t="str">
        <f t="shared" si="64"/>
        <v xml:space="preserve">Enhancement of unloading capacity of CHP from 360 TPH to 500 TPH </v>
      </c>
      <c r="C317" s="1416" t="str">
        <f t="shared" si="64"/>
        <v>MERC/CAPEX/20122013/00912</v>
      </c>
      <c r="D317" s="1456">
        <f t="shared" si="64"/>
        <v>41114</v>
      </c>
      <c r="E317" s="1414">
        <f t="shared" si="64"/>
        <v>7.6508000000000003</v>
      </c>
      <c r="F317" s="1452">
        <f t="shared" si="55"/>
        <v>0</v>
      </c>
      <c r="G317" s="1452">
        <f t="shared" si="56"/>
        <v>0</v>
      </c>
      <c r="H317" s="1452">
        <f t="shared" si="57"/>
        <v>0</v>
      </c>
      <c r="I317" s="1452">
        <v>0</v>
      </c>
      <c r="J317" s="1452">
        <v>0</v>
      </c>
      <c r="K317" s="1414"/>
      <c r="L317" s="1414"/>
      <c r="M317" s="1414">
        <f t="shared" si="62"/>
        <v>0</v>
      </c>
      <c r="N317" s="1414">
        <f t="shared" si="59"/>
        <v>0</v>
      </c>
      <c r="O317" s="1453">
        <f t="shared" si="60"/>
        <v>0</v>
      </c>
      <c r="P317" s="1328">
        <f t="shared" si="61"/>
        <v>0</v>
      </c>
    </row>
    <row r="318" spans="1:16" ht="77.5" hidden="1" customHeight="1" outlineLevel="1" thickBot="1" x14ac:dyDescent="0.3">
      <c r="A318" s="1416">
        <f t="shared" si="64"/>
        <v>3.9</v>
      </c>
      <c r="B318" s="1412" t="str">
        <f t="shared" si="64"/>
        <v>Quick detection of poor coal quality through CCTV on overhead watch
tower focused onto the wagons, over which the rake passes at low
speed &amp; various conveyor tunnels</v>
      </c>
      <c r="C318" s="1416" t="str">
        <f t="shared" si="64"/>
        <v>MERC/CAPEX/20122013/00912</v>
      </c>
      <c r="D318" s="1456">
        <f t="shared" si="64"/>
        <v>41114</v>
      </c>
      <c r="E318" s="1414">
        <f t="shared" si="64"/>
        <v>0.29680000000000001</v>
      </c>
      <c r="F318" s="1452">
        <f t="shared" si="55"/>
        <v>0</v>
      </c>
      <c r="G318" s="1452">
        <f t="shared" si="56"/>
        <v>0</v>
      </c>
      <c r="H318" s="1452">
        <f t="shared" si="57"/>
        <v>0</v>
      </c>
      <c r="I318" s="1452">
        <v>0</v>
      </c>
      <c r="J318" s="1452">
        <v>0</v>
      </c>
      <c r="K318" s="1414"/>
      <c r="L318" s="1414"/>
      <c r="M318" s="1414">
        <f t="shared" si="62"/>
        <v>0</v>
      </c>
      <c r="N318" s="1414">
        <f t="shared" si="59"/>
        <v>0</v>
      </c>
      <c r="O318" s="1453">
        <f t="shared" si="60"/>
        <v>0</v>
      </c>
      <c r="P318" s="1328">
        <f t="shared" si="61"/>
        <v>0</v>
      </c>
    </row>
    <row r="319" spans="1:16" ht="15.5" hidden="1" customHeight="1" outlineLevel="1" thickBot="1" x14ac:dyDescent="0.3">
      <c r="A319" s="1418">
        <f t="shared" si="64"/>
        <v>3.1</v>
      </c>
      <c r="B319" s="1412" t="str">
        <f t="shared" si="64"/>
        <v xml:space="preserve">Motor controller for conveyor motors of Stage II CHP </v>
      </c>
      <c r="C319" s="1416" t="str">
        <f t="shared" si="64"/>
        <v>MERC/CAPEX/20122013/00912</v>
      </c>
      <c r="D319" s="1456">
        <f t="shared" si="64"/>
        <v>41114</v>
      </c>
      <c r="E319" s="1414">
        <f t="shared" si="64"/>
        <v>0.9607</v>
      </c>
      <c r="F319" s="1452">
        <f t="shared" si="55"/>
        <v>0.9607</v>
      </c>
      <c r="G319" s="1452">
        <f t="shared" si="56"/>
        <v>0.9607</v>
      </c>
      <c r="H319" s="1452">
        <f t="shared" si="57"/>
        <v>0</v>
      </c>
      <c r="I319" s="1452">
        <v>0</v>
      </c>
      <c r="J319" s="1452">
        <v>0</v>
      </c>
      <c r="K319" s="1414"/>
      <c r="L319" s="1414"/>
      <c r="M319" s="1414">
        <f t="shared" si="62"/>
        <v>0</v>
      </c>
      <c r="N319" s="1414">
        <f t="shared" si="59"/>
        <v>0</v>
      </c>
      <c r="O319" s="1453">
        <f t="shared" si="60"/>
        <v>0</v>
      </c>
      <c r="P319" s="1328">
        <f t="shared" si="61"/>
        <v>0</v>
      </c>
    </row>
    <row r="320" spans="1:16" ht="31" hidden="1" customHeight="1" outlineLevel="1" thickBot="1" x14ac:dyDescent="0.3">
      <c r="A320" s="1416">
        <f t="shared" si="64"/>
        <v>3.11</v>
      </c>
      <c r="B320" s="1412" t="str">
        <f t="shared" si="64"/>
        <v>Procurement of a CHN apparatus for ultimate analysis for operational optimization and coal mapping studies.</v>
      </c>
      <c r="C320" s="1416" t="str">
        <f t="shared" si="64"/>
        <v>MERC/CAPEX/20122013/00912</v>
      </c>
      <c r="D320" s="1456">
        <f t="shared" si="64"/>
        <v>41114</v>
      </c>
      <c r="E320" s="1414">
        <f t="shared" si="64"/>
        <v>0.63617000000000001</v>
      </c>
      <c r="F320" s="1452">
        <f t="shared" si="55"/>
        <v>0</v>
      </c>
      <c r="G320" s="1452">
        <f t="shared" si="56"/>
        <v>0</v>
      </c>
      <c r="H320" s="1452">
        <f t="shared" si="57"/>
        <v>0</v>
      </c>
      <c r="I320" s="1452">
        <v>0</v>
      </c>
      <c r="J320" s="1452">
        <v>0</v>
      </c>
      <c r="K320" s="1414"/>
      <c r="L320" s="1414"/>
      <c r="M320" s="1414">
        <f t="shared" si="62"/>
        <v>0</v>
      </c>
      <c r="N320" s="1414">
        <f t="shared" si="59"/>
        <v>0</v>
      </c>
      <c r="O320" s="1453">
        <f t="shared" si="60"/>
        <v>0</v>
      </c>
      <c r="P320" s="1328">
        <f t="shared" si="61"/>
        <v>0</v>
      </c>
    </row>
    <row r="321" spans="1:16" ht="15.5" hidden="1" customHeight="1" outlineLevel="1" thickBot="1" x14ac:dyDescent="0.3">
      <c r="A321" s="1416">
        <f t="shared" si="64"/>
        <v>3.12</v>
      </c>
      <c r="B321" s="1412" t="str">
        <f t="shared" si="64"/>
        <v xml:space="preserve">Additional bomb calorimeter </v>
      </c>
      <c r="C321" s="1416" t="str">
        <f t="shared" si="64"/>
        <v>MERC/CAPEX/20122013/00912</v>
      </c>
      <c r="D321" s="1456">
        <f t="shared" si="64"/>
        <v>41114</v>
      </c>
      <c r="E321" s="1414">
        <f t="shared" si="64"/>
        <v>0.44012000000000001</v>
      </c>
      <c r="F321" s="1452">
        <f t="shared" si="55"/>
        <v>0.19</v>
      </c>
      <c r="G321" s="1452">
        <f t="shared" si="56"/>
        <v>0.19</v>
      </c>
      <c r="H321" s="1452">
        <f t="shared" si="57"/>
        <v>0</v>
      </c>
      <c r="I321" s="1452">
        <v>0</v>
      </c>
      <c r="J321" s="1452">
        <v>0</v>
      </c>
      <c r="K321" s="1414"/>
      <c r="L321" s="1414"/>
      <c r="M321" s="1414">
        <f t="shared" si="62"/>
        <v>0</v>
      </c>
      <c r="N321" s="1414">
        <f t="shared" si="59"/>
        <v>0</v>
      </c>
      <c r="O321" s="1453">
        <f t="shared" si="60"/>
        <v>0</v>
      </c>
      <c r="P321" s="1328">
        <f t="shared" si="61"/>
        <v>0</v>
      </c>
    </row>
    <row r="322" spans="1:16" ht="15.5" hidden="1" customHeight="1" outlineLevel="1" thickBot="1" x14ac:dyDescent="0.3">
      <c r="A322" s="1416">
        <f t="shared" si="64"/>
        <v>3.13</v>
      </c>
      <c r="B322" s="1412" t="str">
        <f t="shared" si="64"/>
        <v xml:space="preserve">TGA analysis of the coal for operational optimization. </v>
      </c>
      <c r="C322" s="1416" t="str">
        <f t="shared" si="64"/>
        <v>MERC/CAPEX/20122013/00912</v>
      </c>
      <c r="D322" s="1456">
        <f t="shared" si="64"/>
        <v>41114</v>
      </c>
      <c r="E322" s="1414">
        <f t="shared" si="64"/>
        <v>0.53213999999999995</v>
      </c>
      <c r="F322" s="1452">
        <f t="shared" si="55"/>
        <v>0</v>
      </c>
      <c r="G322" s="1452">
        <f t="shared" si="56"/>
        <v>0</v>
      </c>
      <c r="H322" s="1452">
        <f t="shared" si="57"/>
        <v>0</v>
      </c>
      <c r="I322" s="1452">
        <v>0</v>
      </c>
      <c r="J322" s="1452">
        <v>0</v>
      </c>
      <c r="K322" s="1414"/>
      <c r="L322" s="1414"/>
      <c r="M322" s="1414">
        <f t="shared" si="62"/>
        <v>0</v>
      </c>
      <c r="N322" s="1414">
        <f t="shared" si="59"/>
        <v>0</v>
      </c>
      <c r="O322" s="1453">
        <f t="shared" si="60"/>
        <v>0</v>
      </c>
      <c r="P322" s="1328">
        <f t="shared" si="61"/>
        <v>0</v>
      </c>
    </row>
    <row r="323" spans="1:16" ht="15.5" hidden="1" customHeight="1" outlineLevel="1" thickBot="1" x14ac:dyDescent="0.3">
      <c r="A323" s="1406"/>
      <c r="B323" s="1412" t="str">
        <f t="shared" si="64"/>
        <v>IDC</v>
      </c>
      <c r="C323" s="1416" t="str">
        <f t="shared" si="64"/>
        <v>MERC/CAPEX/20122013/00912</v>
      </c>
      <c r="D323" s="1456">
        <f t="shared" si="64"/>
        <v>41114</v>
      </c>
      <c r="E323" s="1414">
        <f t="shared" si="64"/>
        <v>5.27</v>
      </c>
      <c r="F323" s="1452">
        <f t="shared" si="55"/>
        <v>0</v>
      </c>
      <c r="G323" s="1452">
        <f t="shared" si="56"/>
        <v>0</v>
      </c>
      <c r="H323" s="1452">
        <f t="shared" si="57"/>
        <v>0</v>
      </c>
      <c r="I323" s="1452">
        <v>0</v>
      </c>
      <c r="J323" s="1452">
        <v>0</v>
      </c>
      <c r="K323" s="1414"/>
      <c r="L323" s="1414"/>
      <c r="M323" s="1414">
        <f t="shared" si="62"/>
        <v>0</v>
      </c>
      <c r="N323" s="1414">
        <f t="shared" si="59"/>
        <v>0</v>
      </c>
      <c r="O323" s="1453">
        <f t="shared" si="60"/>
        <v>0</v>
      </c>
      <c r="P323" s="1328">
        <f t="shared" si="61"/>
        <v>0</v>
      </c>
    </row>
    <row r="324" spans="1:16" ht="31" hidden="1" customHeight="1" outlineLevel="1" thickBot="1" x14ac:dyDescent="0.3">
      <c r="A324" s="1406">
        <f>A229</f>
        <v>4</v>
      </c>
      <c r="B324" s="1407" t="str">
        <f t="shared" si="64"/>
        <v>Turbine Auxiliary Performance Improvements</v>
      </c>
      <c r="C324" s="1406" t="str">
        <f t="shared" si="64"/>
        <v>MERC/CAPEX/20122013/02107</v>
      </c>
      <c r="D324" s="1451">
        <f t="shared" si="64"/>
        <v>41281</v>
      </c>
      <c r="E324" s="1452">
        <f t="shared" si="64"/>
        <v>20.108999999999998</v>
      </c>
      <c r="F324" s="1452">
        <f t="shared" si="55"/>
        <v>0</v>
      </c>
      <c r="G324" s="1452">
        <f t="shared" si="56"/>
        <v>0</v>
      </c>
      <c r="H324" s="1452">
        <f t="shared" si="57"/>
        <v>0</v>
      </c>
      <c r="I324" s="1452">
        <v>0</v>
      </c>
      <c r="J324" s="1452">
        <v>0</v>
      </c>
      <c r="K324" s="1452"/>
      <c r="L324" s="1452"/>
      <c r="M324" s="1452">
        <f t="shared" si="62"/>
        <v>0</v>
      </c>
      <c r="N324" s="1452">
        <f t="shared" si="59"/>
        <v>0</v>
      </c>
      <c r="O324" s="1453">
        <f t="shared" si="60"/>
        <v>0</v>
      </c>
      <c r="P324" s="1328">
        <f t="shared" si="61"/>
        <v>0</v>
      </c>
    </row>
    <row r="325" spans="1:16" ht="46.5" hidden="1" customHeight="1" outlineLevel="1" thickBot="1" x14ac:dyDescent="0.3">
      <c r="A325" s="1416">
        <f>A230</f>
        <v>4.0999999999999996</v>
      </c>
      <c r="B325" s="1412" t="str">
        <f t="shared" ref="B325:E340" si="65">B230</f>
        <v>Procurement and installation and commissioning of modified upgraded boiler feed pump (Type -200KHI/S) having energy efficient cartridge for unit 2 &amp; 3 , BTPS.</v>
      </c>
      <c r="C325" s="1416" t="str">
        <f t="shared" si="65"/>
        <v>MERC/CAPEX/20122013/02107</v>
      </c>
      <c r="D325" s="1456">
        <f t="shared" si="65"/>
        <v>41281</v>
      </c>
      <c r="E325" s="1414">
        <f t="shared" si="65"/>
        <v>17.47</v>
      </c>
      <c r="F325" s="1452">
        <f t="shared" si="55"/>
        <v>8.655683800000002</v>
      </c>
      <c r="G325" s="1452">
        <f t="shared" si="56"/>
        <v>8.655683800000002</v>
      </c>
      <c r="H325" s="1452">
        <f t="shared" si="57"/>
        <v>0</v>
      </c>
      <c r="I325" s="1452">
        <v>0</v>
      </c>
      <c r="J325" s="1452">
        <v>0</v>
      </c>
      <c r="K325" s="1414"/>
      <c r="L325" s="1414"/>
      <c r="M325" s="1414">
        <f t="shared" si="62"/>
        <v>0</v>
      </c>
      <c r="N325" s="1414">
        <f t="shared" si="59"/>
        <v>0</v>
      </c>
      <c r="O325" s="1453">
        <f t="shared" si="60"/>
        <v>0</v>
      </c>
      <c r="P325" s="1328">
        <f t="shared" si="61"/>
        <v>0</v>
      </c>
    </row>
    <row r="326" spans="1:16" ht="31" hidden="1" customHeight="1" outlineLevel="1" thickBot="1" x14ac:dyDescent="0.3">
      <c r="A326" s="1416">
        <f>A231</f>
        <v>4.2</v>
      </c>
      <c r="B326" s="1412" t="str">
        <f t="shared" si="65"/>
        <v>Replacement of brine pumps with modified pumps complete with S.S material in new WTP</v>
      </c>
      <c r="C326" s="1416" t="str">
        <f t="shared" si="65"/>
        <v>MERC/CAPEX/20122013/02107</v>
      </c>
      <c r="D326" s="1456">
        <f t="shared" si="65"/>
        <v>41281</v>
      </c>
      <c r="E326" s="1414">
        <f t="shared" si="65"/>
        <v>1.0289999999999999</v>
      </c>
      <c r="F326" s="1452">
        <f t="shared" si="55"/>
        <v>0.30159950000000002</v>
      </c>
      <c r="G326" s="1452">
        <f t="shared" si="56"/>
        <v>0.30159950000000002</v>
      </c>
      <c r="H326" s="1452">
        <f t="shared" si="57"/>
        <v>0</v>
      </c>
      <c r="I326" s="1452">
        <v>0</v>
      </c>
      <c r="J326" s="1452">
        <v>0</v>
      </c>
      <c r="K326" s="1414"/>
      <c r="L326" s="1414"/>
      <c r="M326" s="1414">
        <f t="shared" si="62"/>
        <v>0</v>
      </c>
      <c r="N326" s="1414">
        <f t="shared" si="59"/>
        <v>0</v>
      </c>
      <c r="O326" s="1453">
        <f t="shared" si="60"/>
        <v>0</v>
      </c>
      <c r="P326" s="1328">
        <f t="shared" si="61"/>
        <v>0</v>
      </c>
    </row>
    <row r="327" spans="1:16" ht="15.5" hidden="1" customHeight="1" outlineLevel="1" thickBot="1" x14ac:dyDescent="0.3">
      <c r="A327" s="1406"/>
      <c r="B327" s="1412" t="str">
        <f t="shared" si="65"/>
        <v>IDC</v>
      </c>
      <c r="C327" s="1416" t="str">
        <f t="shared" si="65"/>
        <v>MERC/CAPEX/20122013/02107</v>
      </c>
      <c r="D327" s="1456">
        <f t="shared" si="65"/>
        <v>41281</v>
      </c>
      <c r="E327" s="1414">
        <f t="shared" si="65"/>
        <v>1.61</v>
      </c>
      <c r="F327" s="1452">
        <f t="shared" si="55"/>
        <v>0</v>
      </c>
      <c r="G327" s="1452">
        <f t="shared" si="56"/>
        <v>0</v>
      </c>
      <c r="H327" s="1452">
        <f t="shared" si="57"/>
        <v>0</v>
      </c>
      <c r="I327" s="1452">
        <v>0</v>
      </c>
      <c r="J327" s="1452">
        <v>0</v>
      </c>
      <c r="K327" s="1414"/>
      <c r="L327" s="1414"/>
      <c r="M327" s="1414">
        <f t="shared" si="62"/>
        <v>0</v>
      </c>
      <c r="N327" s="1414">
        <f t="shared" si="59"/>
        <v>0</v>
      </c>
      <c r="O327" s="1453">
        <f t="shared" si="60"/>
        <v>0</v>
      </c>
      <c r="P327" s="1328">
        <f t="shared" si="61"/>
        <v>0</v>
      </c>
    </row>
    <row r="328" spans="1:16" ht="31" hidden="1" customHeight="1" outlineLevel="1" thickBot="1" x14ac:dyDescent="0.3">
      <c r="A328" s="1406">
        <f>A233</f>
        <v>5</v>
      </c>
      <c r="B328" s="1407" t="str">
        <f t="shared" si="65"/>
        <v>Replacement of Platen water wall coils U#2,Super Heater &amp; Platen Super Heater Coils for U#2 and Cold Reheater coils for U#2 &amp; U#3</v>
      </c>
      <c r="C328" s="1406" t="str">
        <f t="shared" si="65"/>
        <v>MERC/TECH-1/CAPEX/20142015/006</v>
      </c>
      <c r="D328" s="1451">
        <f t="shared" si="65"/>
        <v>41928</v>
      </c>
      <c r="E328" s="1452">
        <f t="shared" si="65"/>
        <v>13.692</v>
      </c>
      <c r="F328" s="1452">
        <f t="shared" si="55"/>
        <v>0</v>
      </c>
      <c r="G328" s="1452">
        <f t="shared" si="56"/>
        <v>0</v>
      </c>
      <c r="H328" s="1452">
        <f t="shared" si="57"/>
        <v>0</v>
      </c>
      <c r="I328" s="1452">
        <v>0</v>
      </c>
      <c r="J328" s="1452">
        <v>0</v>
      </c>
      <c r="K328" s="1452"/>
      <c r="L328" s="1452"/>
      <c r="M328" s="1452">
        <f t="shared" si="62"/>
        <v>0</v>
      </c>
      <c r="N328" s="1452">
        <f t="shared" si="59"/>
        <v>0</v>
      </c>
      <c r="O328" s="1453">
        <f t="shared" si="60"/>
        <v>0</v>
      </c>
      <c r="P328" s="1328">
        <f t="shared" si="61"/>
        <v>0</v>
      </c>
    </row>
    <row r="329" spans="1:16" ht="31" hidden="1" customHeight="1" outlineLevel="1" thickBot="1" x14ac:dyDescent="0.3">
      <c r="A329" s="1416">
        <f>A234</f>
        <v>5.0999999999999996</v>
      </c>
      <c r="B329" s="1419" t="str">
        <f t="shared" si="65"/>
        <v>Supply &amp; Erection of Platen Water wall coils Assembly from inlet header to outlet header in pent house for Unit No 2</v>
      </c>
      <c r="C329" s="1416" t="str">
        <f t="shared" si="65"/>
        <v>MERC/TECH-1/CAPEX/20142015/006</v>
      </c>
      <c r="D329" s="1456">
        <f t="shared" si="65"/>
        <v>41928</v>
      </c>
      <c r="E329" s="1414">
        <f t="shared" si="65"/>
        <v>1.1040000000000001</v>
      </c>
      <c r="F329" s="1452">
        <f t="shared" si="55"/>
        <v>0.54</v>
      </c>
      <c r="G329" s="1452">
        <f t="shared" si="56"/>
        <v>0.54</v>
      </c>
      <c r="H329" s="1452">
        <f t="shared" si="57"/>
        <v>0</v>
      </c>
      <c r="I329" s="1452">
        <v>0</v>
      </c>
      <c r="J329" s="1452">
        <v>0</v>
      </c>
      <c r="K329" s="1414"/>
      <c r="L329" s="1414"/>
      <c r="M329" s="1414">
        <f t="shared" si="62"/>
        <v>0</v>
      </c>
      <c r="N329" s="1414">
        <f t="shared" si="59"/>
        <v>0</v>
      </c>
      <c r="O329" s="1453">
        <f t="shared" si="60"/>
        <v>0</v>
      </c>
      <c r="P329" s="1328">
        <f t="shared" si="61"/>
        <v>0</v>
      </c>
    </row>
    <row r="330" spans="1:16" ht="62" hidden="1" customHeight="1" outlineLevel="1" thickBot="1" x14ac:dyDescent="0.3">
      <c r="A330" s="1416">
        <f>A235</f>
        <v>5.2</v>
      </c>
      <c r="B330" s="1419" t="str">
        <f t="shared" si="65"/>
        <v>Complete Supply &amp; Erection of Super Heater Radiant Roof Panel Tube  with Attachment  for Unit No 2 Boiler From front side of Boiler to rear side of boiler &amp; Vertical Platen Super Heater coils Assembly for Unit No 2, 210 MW Boiler.</v>
      </c>
      <c r="C330" s="1416" t="str">
        <f t="shared" si="65"/>
        <v>MERC/TECH-1/CAPEX/20142015/006</v>
      </c>
      <c r="D330" s="1456">
        <f t="shared" si="65"/>
        <v>41928</v>
      </c>
      <c r="E330" s="1414">
        <f t="shared" si="65"/>
        <v>5.4770000000000003</v>
      </c>
      <c r="F330" s="1452">
        <f t="shared" si="55"/>
        <v>5.4649043000000006</v>
      </c>
      <c r="G330" s="1452">
        <f t="shared" si="56"/>
        <v>5.4649043000000006</v>
      </c>
      <c r="H330" s="1452">
        <f t="shared" si="57"/>
        <v>0</v>
      </c>
      <c r="I330" s="1452">
        <v>0</v>
      </c>
      <c r="J330" s="1452">
        <v>0</v>
      </c>
      <c r="K330" s="1414"/>
      <c r="L330" s="1414"/>
      <c r="M330" s="1414">
        <f t="shared" si="62"/>
        <v>0</v>
      </c>
      <c r="N330" s="1414">
        <f t="shared" si="59"/>
        <v>0</v>
      </c>
      <c r="O330" s="1453">
        <f t="shared" si="60"/>
        <v>0</v>
      </c>
      <c r="P330" s="1328">
        <f t="shared" si="61"/>
        <v>0</v>
      </c>
    </row>
    <row r="331" spans="1:16" ht="62" hidden="1" customHeight="1" outlineLevel="1" thickBot="1" x14ac:dyDescent="0.3">
      <c r="A331" s="1416">
        <f>A236</f>
        <v>5.3</v>
      </c>
      <c r="B331" s="1419" t="str">
        <f t="shared" si="65"/>
        <v>Supply &amp; Erection of Reheater front Pendent Assembly consisting Full set of Cold Reheater coil assembly For Unit No 2 with necessary attachments, Crown Plate. Heat shield, roof seal bend, steam cooled spacer tube with necessary attachment.</v>
      </c>
      <c r="C331" s="1416" t="str">
        <f t="shared" si="65"/>
        <v>MERC/TECH-1/CAPEX/20142015/006</v>
      </c>
      <c r="D331" s="1456">
        <f t="shared" si="65"/>
        <v>41928</v>
      </c>
      <c r="E331" s="1414">
        <f t="shared" si="65"/>
        <v>2.7109999999999999</v>
      </c>
      <c r="F331" s="1452">
        <f t="shared" si="55"/>
        <v>2.6624558</v>
      </c>
      <c r="G331" s="1452">
        <f t="shared" si="56"/>
        <v>2.6624558</v>
      </c>
      <c r="H331" s="1452">
        <f t="shared" si="57"/>
        <v>0</v>
      </c>
      <c r="I331" s="1452">
        <v>0</v>
      </c>
      <c r="J331" s="1452">
        <v>0</v>
      </c>
      <c r="K331" s="1414"/>
      <c r="L331" s="1414"/>
      <c r="M331" s="1414">
        <f t="shared" si="62"/>
        <v>0</v>
      </c>
      <c r="N331" s="1414">
        <f t="shared" si="59"/>
        <v>0</v>
      </c>
      <c r="O331" s="1453">
        <f t="shared" si="60"/>
        <v>0</v>
      </c>
      <c r="P331" s="1328">
        <f t="shared" si="61"/>
        <v>0</v>
      </c>
    </row>
    <row r="332" spans="1:16" ht="62" hidden="1" customHeight="1" outlineLevel="1" thickBot="1" x14ac:dyDescent="0.3">
      <c r="A332" s="1416">
        <f>A237</f>
        <v>5.4</v>
      </c>
      <c r="B332" s="1419" t="str">
        <f t="shared" si="65"/>
        <v>Supply &amp; Erection of Reheater front Pendent Assembly consisting Full set of Cold Reheater coil assembly For Unit No 3 with necessary attachments, Crown Plate. Heat shield, roof seal bend, steam cooled spacer tube with necessary attachment.</v>
      </c>
      <c r="C332" s="1416" t="str">
        <f t="shared" si="65"/>
        <v>MERC/TECH-1/CAPEX/20142015/006</v>
      </c>
      <c r="D332" s="1456">
        <f t="shared" si="65"/>
        <v>41928</v>
      </c>
      <c r="E332" s="1414">
        <f t="shared" si="65"/>
        <v>2.7109999999999999</v>
      </c>
      <c r="F332" s="1452">
        <f t="shared" si="55"/>
        <v>2.3531</v>
      </c>
      <c r="G332" s="1452">
        <f t="shared" si="56"/>
        <v>2.3531</v>
      </c>
      <c r="H332" s="1452">
        <f t="shared" si="57"/>
        <v>0</v>
      </c>
      <c r="I332" s="1452">
        <v>0</v>
      </c>
      <c r="J332" s="1452">
        <v>0</v>
      </c>
      <c r="K332" s="1414"/>
      <c r="L332" s="1414"/>
      <c r="M332" s="1414">
        <f t="shared" si="62"/>
        <v>0</v>
      </c>
      <c r="N332" s="1414">
        <f t="shared" si="59"/>
        <v>0</v>
      </c>
      <c r="O332" s="1453">
        <f t="shared" si="60"/>
        <v>0</v>
      </c>
      <c r="P332" s="1328">
        <f t="shared" si="61"/>
        <v>0</v>
      </c>
    </row>
    <row r="333" spans="1:16" ht="31" hidden="1" customHeight="1" outlineLevel="1" thickBot="1" x14ac:dyDescent="0.3">
      <c r="A333" s="1406"/>
      <c r="B333" s="1419" t="str">
        <f t="shared" si="65"/>
        <v>IDC</v>
      </c>
      <c r="C333" s="1416" t="str">
        <f t="shared" si="65"/>
        <v>MERC/TECH-1/CAPEX/20142015/006</v>
      </c>
      <c r="D333" s="1456">
        <f t="shared" si="65"/>
        <v>41928</v>
      </c>
      <c r="E333" s="1414">
        <f t="shared" si="65"/>
        <v>1.6890000000000001</v>
      </c>
      <c r="F333" s="1452">
        <f t="shared" si="55"/>
        <v>0</v>
      </c>
      <c r="G333" s="1452">
        <f t="shared" si="56"/>
        <v>0</v>
      </c>
      <c r="H333" s="1452">
        <f t="shared" si="57"/>
        <v>0</v>
      </c>
      <c r="I333" s="1452">
        <v>0</v>
      </c>
      <c r="J333" s="1452">
        <v>0</v>
      </c>
      <c r="K333" s="1414"/>
      <c r="L333" s="1414"/>
      <c r="M333" s="1414">
        <f t="shared" si="62"/>
        <v>0</v>
      </c>
      <c r="N333" s="1414">
        <f t="shared" si="59"/>
        <v>0</v>
      </c>
      <c r="O333" s="1453">
        <f t="shared" si="60"/>
        <v>0</v>
      </c>
      <c r="P333" s="1328">
        <f t="shared" si="61"/>
        <v>0</v>
      </c>
    </row>
    <row r="334" spans="1:16" ht="46.5" hidden="1" customHeight="1" outlineLevel="1" thickBot="1" x14ac:dyDescent="0.3">
      <c r="A334" s="1406">
        <f>A239</f>
        <v>6</v>
      </c>
      <c r="B334" s="1407" t="str">
        <f t="shared" si="65"/>
        <v>Boiler Process Improvement by replacement of damaged valves and Boiler Perfm Imp by Air Pre-Heater Up gradation of U#2 &amp; U#3 at BTPS</v>
      </c>
      <c r="C334" s="1406" t="str">
        <f t="shared" si="65"/>
        <v>MERC/Tech-1/CAPEX /2014-15/00433</v>
      </c>
      <c r="D334" s="1451">
        <f t="shared" si="65"/>
        <v>41792</v>
      </c>
      <c r="E334" s="1452">
        <f t="shared" si="65"/>
        <v>17.369999999999997</v>
      </c>
      <c r="F334" s="1452">
        <f t="shared" si="55"/>
        <v>0</v>
      </c>
      <c r="G334" s="1452">
        <f t="shared" si="56"/>
        <v>0</v>
      </c>
      <c r="H334" s="1452">
        <f t="shared" si="57"/>
        <v>0</v>
      </c>
      <c r="I334" s="1452">
        <v>0</v>
      </c>
      <c r="J334" s="1452">
        <v>0</v>
      </c>
      <c r="K334" s="1452"/>
      <c r="L334" s="1452"/>
      <c r="M334" s="1452">
        <f t="shared" si="62"/>
        <v>0</v>
      </c>
      <c r="N334" s="1452">
        <f t="shared" si="59"/>
        <v>0</v>
      </c>
      <c r="O334" s="1453">
        <f t="shared" si="60"/>
        <v>0</v>
      </c>
      <c r="P334" s="1328">
        <f t="shared" si="61"/>
        <v>0</v>
      </c>
    </row>
    <row r="335" spans="1:16" ht="31" hidden="1" customHeight="1" outlineLevel="1" thickBot="1" x14ac:dyDescent="0.3">
      <c r="A335" s="1411">
        <f>A240</f>
        <v>6.1</v>
      </c>
      <c r="B335" s="1419" t="str">
        <f t="shared" si="65"/>
        <v>Replacement of boiler outlet valves and damaged valves of units 2 &amp; 3</v>
      </c>
      <c r="C335" s="1411" t="str">
        <f t="shared" si="65"/>
        <v>MERC/Tech-1/CAPEX /2014-15/00433</v>
      </c>
      <c r="D335" s="1454">
        <f t="shared" si="65"/>
        <v>41792</v>
      </c>
      <c r="E335" s="1414">
        <f t="shared" si="65"/>
        <v>2.62</v>
      </c>
      <c r="F335" s="1452">
        <f t="shared" si="55"/>
        <v>1.3984000000000001</v>
      </c>
      <c r="G335" s="1452">
        <f t="shared" si="56"/>
        <v>1.3984000000000001</v>
      </c>
      <c r="H335" s="1452">
        <f t="shared" si="57"/>
        <v>0</v>
      </c>
      <c r="I335" s="1452">
        <v>0</v>
      </c>
      <c r="J335" s="1452">
        <v>0</v>
      </c>
      <c r="K335" s="1414"/>
      <c r="L335" s="1414"/>
      <c r="M335" s="1414">
        <f t="shared" si="62"/>
        <v>0</v>
      </c>
      <c r="N335" s="1414">
        <f t="shared" si="59"/>
        <v>0</v>
      </c>
      <c r="O335" s="1453">
        <f t="shared" si="60"/>
        <v>0</v>
      </c>
      <c r="P335" s="1328">
        <f t="shared" si="61"/>
        <v>0</v>
      </c>
    </row>
    <row r="336" spans="1:16" ht="31" hidden="1" customHeight="1" outlineLevel="1" thickBot="1" x14ac:dyDescent="0.3">
      <c r="A336" s="1411">
        <f>A241</f>
        <v>6.2</v>
      </c>
      <c r="B336" s="1419" t="str">
        <f t="shared" si="65"/>
        <v>Air pre heater up gradation of heat exchanger matrix &amp; regenerative dynamic sealing of units 2 &amp; 3</v>
      </c>
      <c r="C336" s="1411" t="str">
        <f t="shared" si="65"/>
        <v>MERC/Tech-1/CAPEX /2014-15/00433</v>
      </c>
      <c r="D336" s="1454">
        <f t="shared" si="65"/>
        <v>41792</v>
      </c>
      <c r="E336" s="1414">
        <f t="shared" si="65"/>
        <v>13.404999999999999</v>
      </c>
      <c r="F336" s="1452">
        <f t="shared" si="55"/>
        <v>1.2086276</v>
      </c>
      <c r="G336" s="1452">
        <f t="shared" si="56"/>
        <v>1.2086276</v>
      </c>
      <c r="H336" s="1452">
        <f t="shared" si="57"/>
        <v>0</v>
      </c>
      <c r="I336" s="1452">
        <v>0</v>
      </c>
      <c r="J336" s="1452">
        <v>0</v>
      </c>
      <c r="K336" s="1414"/>
      <c r="L336" s="1414"/>
      <c r="M336" s="1414">
        <f t="shared" si="62"/>
        <v>0</v>
      </c>
      <c r="N336" s="1414">
        <f t="shared" si="59"/>
        <v>0</v>
      </c>
      <c r="O336" s="1453">
        <f t="shared" si="60"/>
        <v>0</v>
      </c>
      <c r="P336" s="1328">
        <f t="shared" si="61"/>
        <v>0</v>
      </c>
    </row>
    <row r="337" spans="1:16" ht="31" hidden="1" customHeight="1" outlineLevel="1" thickBot="1" x14ac:dyDescent="0.3">
      <c r="A337" s="1411"/>
      <c r="B337" s="1419" t="str">
        <f t="shared" si="65"/>
        <v>IDC</v>
      </c>
      <c r="C337" s="1411" t="str">
        <f t="shared" si="65"/>
        <v>MERC/Tech-1/CAPEX /2014-15/00433</v>
      </c>
      <c r="D337" s="1454">
        <f t="shared" si="65"/>
        <v>41792</v>
      </c>
      <c r="E337" s="1414">
        <f t="shared" si="65"/>
        <v>1.345</v>
      </c>
      <c r="F337" s="1452">
        <f t="shared" si="55"/>
        <v>0</v>
      </c>
      <c r="G337" s="1452">
        <f t="shared" si="56"/>
        <v>0</v>
      </c>
      <c r="H337" s="1452">
        <f t="shared" si="57"/>
        <v>0</v>
      </c>
      <c r="I337" s="1452">
        <v>0</v>
      </c>
      <c r="J337" s="1452">
        <v>0</v>
      </c>
      <c r="K337" s="1414"/>
      <c r="L337" s="1414"/>
      <c r="M337" s="1414">
        <f t="shared" si="62"/>
        <v>0</v>
      </c>
      <c r="N337" s="1414">
        <f t="shared" si="59"/>
        <v>0</v>
      </c>
      <c r="O337" s="1453">
        <f t="shared" si="60"/>
        <v>0</v>
      </c>
      <c r="P337" s="1328">
        <f t="shared" si="61"/>
        <v>0</v>
      </c>
    </row>
    <row r="338" spans="1:16" ht="31" hidden="1" customHeight="1" outlineLevel="1" thickBot="1" x14ac:dyDescent="0.3">
      <c r="A338" s="1406">
        <f t="shared" ref="A338:E353" si="66">A243</f>
        <v>8</v>
      </c>
      <c r="B338" s="1407" t="str">
        <f t="shared" si="65"/>
        <v>Stack management by procurement of Bulldozer &amp; LOCO and CHP area schemes for performance &amp; unloading improvement</v>
      </c>
      <c r="C338" s="1406" t="str">
        <f t="shared" si="65"/>
        <v>MERC/CAPEX/20162017/01426</v>
      </c>
      <c r="D338" s="1451">
        <f t="shared" si="65"/>
        <v>42768</v>
      </c>
      <c r="E338" s="1452">
        <f t="shared" si="65"/>
        <v>2.0930578512396689</v>
      </c>
      <c r="F338" s="1452">
        <f t="shared" si="55"/>
        <v>0</v>
      </c>
      <c r="G338" s="1452">
        <f t="shared" si="56"/>
        <v>0</v>
      </c>
      <c r="H338" s="1452">
        <f t="shared" si="57"/>
        <v>0</v>
      </c>
      <c r="I338" s="1452">
        <v>0</v>
      </c>
      <c r="J338" s="1452">
        <v>0</v>
      </c>
      <c r="K338" s="1452"/>
      <c r="L338" s="1452"/>
      <c r="M338" s="1452">
        <f t="shared" si="62"/>
        <v>0</v>
      </c>
      <c r="N338" s="1452">
        <f t="shared" si="59"/>
        <v>0</v>
      </c>
      <c r="O338" s="1453">
        <f t="shared" si="60"/>
        <v>0</v>
      </c>
      <c r="P338" s="1328">
        <f t="shared" si="61"/>
        <v>0</v>
      </c>
    </row>
    <row r="339" spans="1:16" ht="15.5" hidden="1" customHeight="1" outlineLevel="1" thickBot="1" x14ac:dyDescent="0.3">
      <c r="A339" s="1411">
        <f t="shared" si="66"/>
        <v>8.1</v>
      </c>
      <c r="B339" s="1419" t="str">
        <f t="shared" si="65"/>
        <v>Procurement of Locomotive 800 HP (2 No.’s)</v>
      </c>
      <c r="C339" s="1411" t="str">
        <f t="shared" si="65"/>
        <v>MERC/CAPEX/20162017/01426</v>
      </c>
      <c r="D339" s="1454">
        <f t="shared" si="65"/>
        <v>42768</v>
      </c>
      <c r="E339" s="1414">
        <f t="shared" si="65"/>
        <v>1.0395867768595042</v>
      </c>
      <c r="F339" s="1452">
        <f t="shared" si="55"/>
        <v>1.0134768000000001</v>
      </c>
      <c r="G339" s="1452">
        <f t="shared" si="56"/>
        <v>1.0134768000000001</v>
      </c>
      <c r="H339" s="1452">
        <f t="shared" si="57"/>
        <v>0</v>
      </c>
      <c r="I339" s="1452">
        <v>0</v>
      </c>
      <c r="J339" s="1452">
        <v>0</v>
      </c>
      <c r="K339" s="1414"/>
      <c r="L339" s="1414"/>
      <c r="M339" s="1414">
        <f t="shared" si="62"/>
        <v>0</v>
      </c>
      <c r="N339" s="1414">
        <f t="shared" si="59"/>
        <v>0</v>
      </c>
      <c r="O339" s="1453">
        <f t="shared" si="60"/>
        <v>0</v>
      </c>
      <c r="P339" s="1328">
        <f t="shared" si="61"/>
        <v>0</v>
      </c>
    </row>
    <row r="340" spans="1:16" ht="15.5" hidden="1" customHeight="1" outlineLevel="1" thickBot="1" x14ac:dyDescent="0.3">
      <c r="A340" s="1411">
        <f t="shared" si="66"/>
        <v>8.1999999999999993</v>
      </c>
      <c r="B340" s="1419" t="str">
        <f t="shared" si="65"/>
        <v>Procurement of 2 No’s of Bulldozer Model D-155(2 No.’s)</v>
      </c>
      <c r="C340" s="1411" t="str">
        <f t="shared" si="65"/>
        <v>MERC/CAPEX/20162017/01426</v>
      </c>
      <c r="D340" s="1454">
        <f t="shared" si="65"/>
        <v>42768</v>
      </c>
      <c r="E340" s="1414">
        <f t="shared" si="65"/>
        <v>0.5380165289256198</v>
      </c>
      <c r="F340" s="1452">
        <f t="shared" si="55"/>
        <v>0.72968922148760329</v>
      </c>
      <c r="G340" s="1452">
        <f t="shared" si="56"/>
        <v>0.72968922148760329</v>
      </c>
      <c r="H340" s="1452">
        <f t="shared" si="57"/>
        <v>0</v>
      </c>
      <c r="I340" s="1452">
        <v>0</v>
      </c>
      <c r="J340" s="1452">
        <v>0</v>
      </c>
      <c r="K340" s="1414"/>
      <c r="L340" s="1414"/>
      <c r="M340" s="1414">
        <f t="shared" si="62"/>
        <v>0</v>
      </c>
      <c r="N340" s="1414">
        <f t="shared" si="59"/>
        <v>0</v>
      </c>
      <c r="O340" s="1453">
        <f t="shared" si="60"/>
        <v>0</v>
      </c>
      <c r="P340" s="1328">
        <f t="shared" si="61"/>
        <v>0</v>
      </c>
    </row>
    <row r="341" spans="1:16" ht="15.5" hidden="1" customHeight="1" outlineLevel="1" thickBot="1" x14ac:dyDescent="0.3">
      <c r="A341" s="1411">
        <f t="shared" si="66"/>
        <v>8.3000000000000007</v>
      </c>
      <c r="B341" s="1419" t="str">
        <f t="shared" si="66"/>
        <v>Modification below primary crusher chutes 15A/B &amp; Conv.02</v>
      </c>
      <c r="C341" s="1411" t="str">
        <f t="shared" si="66"/>
        <v>MERC/CAPEX/20162017/01426</v>
      </c>
      <c r="D341" s="1454">
        <f t="shared" si="66"/>
        <v>42768</v>
      </c>
      <c r="E341" s="1414">
        <f t="shared" si="66"/>
        <v>9.0247933884297526E-2</v>
      </c>
      <c r="F341" s="1452">
        <f t="shared" si="55"/>
        <v>7.9869421487603301E-2</v>
      </c>
      <c r="G341" s="1452">
        <f t="shared" si="56"/>
        <v>7.9869421487603301E-2</v>
      </c>
      <c r="H341" s="1452">
        <f t="shared" si="57"/>
        <v>0</v>
      </c>
      <c r="I341" s="1452">
        <v>0</v>
      </c>
      <c r="J341" s="1452">
        <v>0</v>
      </c>
      <c r="K341" s="1414"/>
      <c r="L341" s="1414"/>
      <c r="M341" s="1414">
        <f t="shared" si="62"/>
        <v>0</v>
      </c>
      <c r="N341" s="1414">
        <f t="shared" si="59"/>
        <v>0</v>
      </c>
      <c r="O341" s="1453">
        <f t="shared" si="60"/>
        <v>0</v>
      </c>
      <c r="P341" s="1328">
        <f t="shared" si="61"/>
        <v>0</v>
      </c>
    </row>
    <row r="342" spans="1:16" ht="15.5" hidden="1" customHeight="1" outlineLevel="1" thickBot="1" x14ac:dyDescent="0.3">
      <c r="A342" s="1411">
        <f t="shared" si="66"/>
        <v>8.4</v>
      </c>
      <c r="B342" s="1419" t="str">
        <f t="shared" si="66"/>
        <v>New helical gear box for various conveyors</v>
      </c>
      <c r="C342" s="1411" t="str">
        <f t="shared" si="66"/>
        <v>MERC/CAPEX/20162017/01426</v>
      </c>
      <c r="D342" s="1454">
        <f t="shared" si="66"/>
        <v>42768</v>
      </c>
      <c r="E342" s="1414">
        <f t="shared" si="66"/>
        <v>0.16661157024793388</v>
      </c>
      <c r="F342" s="1452">
        <f t="shared" si="55"/>
        <v>0</v>
      </c>
      <c r="G342" s="1452">
        <f t="shared" si="56"/>
        <v>0</v>
      </c>
      <c r="H342" s="1452">
        <f t="shared" si="57"/>
        <v>0</v>
      </c>
      <c r="I342" s="1452">
        <v>0</v>
      </c>
      <c r="J342" s="1452">
        <v>0</v>
      </c>
      <c r="K342" s="1414"/>
      <c r="L342" s="1414"/>
      <c r="M342" s="1414">
        <f t="shared" si="62"/>
        <v>0</v>
      </c>
      <c r="N342" s="1414">
        <f t="shared" si="59"/>
        <v>0</v>
      </c>
      <c r="O342" s="1453">
        <f t="shared" si="60"/>
        <v>0</v>
      </c>
      <c r="P342" s="1328">
        <f t="shared" si="61"/>
        <v>0</v>
      </c>
    </row>
    <row r="343" spans="1:16" ht="15.5" hidden="1" customHeight="1" outlineLevel="1" thickBot="1" x14ac:dyDescent="0.3">
      <c r="A343" s="1411">
        <f t="shared" si="66"/>
        <v>8.5</v>
      </c>
      <c r="B343" s="1419" t="str">
        <f t="shared" si="66"/>
        <v xml:space="preserve">Procurement of Elecon Make Ring Granulator Type TK-09-38B </v>
      </c>
      <c r="C343" s="1411" t="str">
        <f t="shared" si="66"/>
        <v>MERC/CAPEX/20162017/01426</v>
      </c>
      <c r="D343" s="1454">
        <f t="shared" si="66"/>
        <v>42768</v>
      </c>
      <c r="E343" s="1414">
        <f t="shared" si="66"/>
        <v>0.11280991735537189</v>
      </c>
      <c r="F343" s="1452">
        <f t="shared" si="55"/>
        <v>0</v>
      </c>
      <c r="G343" s="1452">
        <f t="shared" si="56"/>
        <v>0</v>
      </c>
      <c r="H343" s="1452">
        <f t="shared" si="57"/>
        <v>0</v>
      </c>
      <c r="I343" s="1452">
        <v>0</v>
      </c>
      <c r="J343" s="1452">
        <v>0</v>
      </c>
      <c r="K343" s="1414"/>
      <c r="L343" s="1414"/>
      <c r="M343" s="1414">
        <f t="shared" si="62"/>
        <v>0</v>
      </c>
      <c r="N343" s="1414">
        <f t="shared" si="59"/>
        <v>0</v>
      </c>
      <c r="O343" s="1453">
        <f t="shared" si="60"/>
        <v>0</v>
      </c>
      <c r="P343" s="1328">
        <f t="shared" si="61"/>
        <v>0</v>
      </c>
    </row>
    <row r="344" spans="1:16" ht="31" hidden="1" customHeight="1" outlineLevel="1" thickBot="1" x14ac:dyDescent="0.3">
      <c r="A344" s="1411">
        <f t="shared" si="66"/>
        <v>8.6</v>
      </c>
      <c r="B344" s="1419" t="str">
        <f t="shared" si="66"/>
        <v>Procurement of Elecon Make Ring Granulator Type TK6 32B Ring Granulator</v>
      </c>
      <c r="C344" s="1411" t="str">
        <f t="shared" si="66"/>
        <v>MERC/CAPEX/20162017/01426</v>
      </c>
      <c r="D344" s="1454">
        <f t="shared" si="66"/>
        <v>42768</v>
      </c>
      <c r="E344" s="1414">
        <f t="shared" si="66"/>
        <v>7.1157024793388424E-2</v>
      </c>
      <c r="F344" s="1452">
        <f t="shared" si="55"/>
        <v>0</v>
      </c>
      <c r="G344" s="1452">
        <f t="shared" si="56"/>
        <v>0</v>
      </c>
      <c r="H344" s="1452">
        <f t="shared" si="57"/>
        <v>0</v>
      </c>
      <c r="I344" s="1452">
        <v>0</v>
      </c>
      <c r="J344" s="1452">
        <v>0</v>
      </c>
      <c r="K344" s="1414"/>
      <c r="L344" s="1414"/>
      <c r="M344" s="1414">
        <f t="shared" si="62"/>
        <v>0</v>
      </c>
      <c r="N344" s="1414">
        <f t="shared" si="59"/>
        <v>0</v>
      </c>
      <c r="O344" s="1453">
        <f t="shared" si="60"/>
        <v>0</v>
      </c>
      <c r="P344" s="1328">
        <f t="shared" si="61"/>
        <v>0</v>
      </c>
    </row>
    <row r="345" spans="1:16" ht="15.5" hidden="1" customHeight="1" outlineLevel="1" thickBot="1" x14ac:dyDescent="0.3">
      <c r="A345" s="1411"/>
      <c r="B345" s="1419" t="str">
        <f t="shared" si="66"/>
        <v>IDC</v>
      </c>
      <c r="C345" s="1411" t="str">
        <f t="shared" si="66"/>
        <v>MERC/CAPEX/20162017/01426</v>
      </c>
      <c r="D345" s="1454">
        <f t="shared" si="66"/>
        <v>42768</v>
      </c>
      <c r="E345" s="1414">
        <f t="shared" si="66"/>
        <v>7.4628099173553716E-2</v>
      </c>
      <c r="F345" s="1452">
        <f t="shared" si="55"/>
        <v>0</v>
      </c>
      <c r="G345" s="1452">
        <f t="shared" si="56"/>
        <v>0</v>
      </c>
      <c r="H345" s="1452">
        <f t="shared" si="57"/>
        <v>0</v>
      </c>
      <c r="I345" s="1452">
        <v>0</v>
      </c>
      <c r="J345" s="1452">
        <v>0</v>
      </c>
      <c r="K345" s="1414"/>
      <c r="L345" s="1414"/>
      <c r="M345" s="1414">
        <f t="shared" si="62"/>
        <v>0</v>
      </c>
      <c r="N345" s="1414">
        <f t="shared" si="59"/>
        <v>0</v>
      </c>
      <c r="O345" s="1453">
        <f t="shared" si="60"/>
        <v>0</v>
      </c>
      <c r="P345" s="1328">
        <f t="shared" si="61"/>
        <v>0</v>
      </c>
    </row>
    <row r="346" spans="1:16" ht="46.5" hidden="1" customHeight="1" outlineLevel="1" thickBot="1" x14ac:dyDescent="0.3">
      <c r="A346" s="1406">
        <f>A251</f>
        <v>14</v>
      </c>
      <c r="B346" s="1407" t="str">
        <f t="shared" si="66"/>
        <v>Upgradation of Symphony Harmony DCS, 220V 1285 AH Battery &amp; Charger and Replacement of 6.6 kV HT MOCB by VCB at BTPS, Bhusawal</v>
      </c>
      <c r="C346" s="1406" t="str">
        <f t="shared" si="66"/>
        <v>MERC/CAPEX/2019-2020/915</v>
      </c>
      <c r="D346" s="1451">
        <f t="shared" si="66"/>
        <v>43760</v>
      </c>
      <c r="E346" s="1452">
        <f t="shared" si="66"/>
        <v>13.72861</v>
      </c>
      <c r="F346" s="1452">
        <f t="shared" si="55"/>
        <v>0</v>
      </c>
      <c r="G346" s="1452">
        <f t="shared" si="56"/>
        <v>0</v>
      </c>
      <c r="H346" s="1452">
        <f t="shared" si="57"/>
        <v>0</v>
      </c>
      <c r="I346" s="1452">
        <v>0</v>
      </c>
      <c r="J346" s="1452">
        <v>0</v>
      </c>
      <c r="K346" s="1452"/>
      <c r="L346" s="1452"/>
      <c r="M346" s="1452">
        <f t="shared" si="62"/>
        <v>0</v>
      </c>
      <c r="N346" s="1452">
        <f t="shared" si="59"/>
        <v>0</v>
      </c>
      <c r="O346" s="1453">
        <f t="shared" si="60"/>
        <v>0</v>
      </c>
      <c r="P346" s="1328">
        <f t="shared" si="61"/>
        <v>0</v>
      </c>
    </row>
    <row r="347" spans="1:16" ht="31" hidden="1" customHeight="1" outlineLevel="1" thickBot="1" x14ac:dyDescent="0.3">
      <c r="A347" s="1411">
        <f>A252</f>
        <v>14.1</v>
      </c>
      <c r="B347" s="1419" t="str">
        <f t="shared" si="66"/>
        <v>HMI Up-gradation of Symphony Harmony DCS Unit-3, 210MW, BTPS.</v>
      </c>
      <c r="C347" s="1411" t="str">
        <f t="shared" si="66"/>
        <v>MERC/CAPEX/2019-2020/915</v>
      </c>
      <c r="D347" s="1454">
        <f t="shared" si="66"/>
        <v>43760</v>
      </c>
      <c r="E347" s="1457">
        <f t="shared" si="66"/>
        <v>5.54</v>
      </c>
      <c r="F347" s="1452">
        <f t="shared" si="55"/>
        <v>5.54</v>
      </c>
      <c r="G347" s="1452">
        <f t="shared" si="56"/>
        <v>5.54</v>
      </c>
      <c r="H347" s="1452">
        <f t="shared" si="57"/>
        <v>0</v>
      </c>
      <c r="I347" s="1452">
        <v>0</v>
      </c>
      <c r="J347" s="1452">
        <v>0</v>
      </c>
      <c r="K347" s="1457"/>
      <c r="L347" s="1457"/>
      <c r="M347" s="1457">
        <f t="shared" si="62"/>
        <v>0</v>
      </c>
      <c r="N347" s="1457">
        <f t="shared" si="59"/>
        <v>0</v>
      </c>
      <c r="O347" s="1453">
        <f t="shared" si="60"/>
        <v>0</v>
      </c>
      <c r="P347" s="1328">
        <f t="shared" si="61"/>
        <v>0</v>
      </c>
    </row>
    <row r="348" spans="1:16" ht="46.5" hidden="1" customHeight="1" outlineLevel="1" thickBot="1" x14ac:dyDescent="0.3">
      <c r="A348" s="1411">
        <f>A253</f>
        <v>14.2</v>
      </c>
      <c r="B348" s="1419" t="str">
        <f t="shared" si="66"/>
        <v>Supply, erection, commissioning and site testing of Plante 220V DC, 1285 AH, Station Battery Set and charging equipment for 1285 AH Plante battery for Unit 3.</v>
      </c>
      <c r="C348" s="1411" t="str">
        <f t="shared" si="66"/>
        <v>MERC/CAPEX/2019-2020/915</v>
      </c>
      <c r="D348" s="1454">
        <f t="shared" si="66"/>
        <v>43760</v>
      </c>
      <c r="E348" s="1457">
        <f t="shared" si="66"/>
        <v>1.71861</v>
      </c>
      <c r="F348" s="1452">
        <f t="shared" si="55"/>
        <v>1.71861</v>
      </c>
      <c r="G348" s="1452">
        <f t="shared" si="56"/>
        <v>1.71861</v>
      </c>
      <c r="H348" s="1452">
        <f t="shared" si="57"/>
        <v>0</v>
      </c>
      <c r="I348" s="1452">
        <v>0</v>
      </c>
      <c r="J348" s="1452">
        <v>0</v>
      </c>
      <c r="K348" s="1457"/>
      <c r="L348" s="1457"/>
      <c r="M348" s="1457">
        <f t="shared" si="62"/>
        <v>0</v>
      </c>
      <c r="N348" s="1457">
        <f t="shared" si="59"/>
        <v>0</v>
      </c>
      <c r="O348" s="1453">
        <f t="shared" si="60"/>
        <v>0</v>
      </c>
      <c r="P348" s="1328">
        <f t="shared" si="61"/>
        <v>0</v>
      </c>
    </row>
    <row r="349" spans="1:16" ht="31" hidden="1" customHeight="1" outlineLevel="1" thickBot="1" x14ac:dyDescent="0.3">
      <c r="A349" s="1411">
        <f>A254</f>
        <v>14.3</v>
      </c>
      <c r="B349" s="1419" t="str">
        <f t="shared" si="66"/>
        <v>Retrofitting of 6.6 kv breakers of unit -3 along without door plant boards by vacuum circuit breakers.</v>
      </c>
      <c r="C349" s="1411" t="str">
        <f t="shared" si="66"/>
        <v>MERC/CAPEX/2019-2020/915</v>
      </c>
      <c r="D349" s="1454">
        <f t="shared" si="66"/>
        <v>43760</v>
      </c>
      <c r="E349" s="1457">
        <f t="shared" si="66"/>
        <v>6.47</v>
      </c>
      <c r="F349" s="1452">
        <f t="shared" si="55"/>
        <v>6.1082700000000001</v>
      </c>
      <c r="G349" s="1452">
        <f t="shared" si="56"/>
        <v>6.1082700000000001</v>
      </c>
      <c r="H349" s="1452">
        <f t="shared" si="57"/>
        <v>0</v>
      </c>
      <c r="I349" s="1452">
        <v>0</v>
      </c>
      <c r="J349" s="1452">
        <v>0</v>
      </c>
      <c r="K349" s="1457"/>
      <c r="L349" s="1457"/>
      <c r="M349" s="1457">
        <f t="shared" si="62"/>
        <v>0</v>
      </c>
      <c r="N349" s="1457">
        <f t="shared" si="59"/>
        <v>0</v>
      </c>
      <c r="O349" s="1453">
        <f t="shared" si="60"/>
        <v>0</v>
      </c>
      <c r="P349" s="1328">
        <f t="shared" si="61"/>
        <v>0</v>
      </c>
    </row>
    <row r="350" spans="1:16" ht="15.5" hidden="1" customHeight="1" outlineLevel="1" thickBot="1" x14ac:dyDescent="0.3">
      <c r="A350" s="1411"/>
      <c r="B350" s="1419" t="str">
        <f t="shared" si="66"/>
        <v>IDC</v>
      </c>
      <c r="C350" s="1411" t="str">
        <f t="shared" si="66"/>
        <v>MERC/CAPEX/2019-2020/915</v>
      </c>
      <c r="D350" s="1454">
        <f t="shared" si="66"/>
        <v>43760</v>
      </c>
      <c r="E350" s="1457">
        <f t="shared" si="66"/>
        <v>0</v>
      </c>
      <c r="F350" s="1452">
        <f t="shared" si="55"/>
        <v>0</v>
      </c>
      <c r="G350" s="1452">
        <f t="shared" si="56"/>
        <v>0</v>
      </c>
      <c r="H350" s="1452">
        <f t="shared" si="57"/>
        <v>0</v>
      </c>
      <c r="I350" s="1452">
        <v>0</v>
      </c>
      <c r="J350" s="1452">
        <v>0</v>
      </c>
      <c r="K350" s="1457"/>
      <c r="L350" s="1457"/>
      <c r="M350" s="1457">
        <f t="shared" si="62"/>
        <v>0</v>
      </c>
      <c r="N350" s="1457">
        <f t="shared" si="59"/>
        <v>0</v>
      </c>
      <c r="O350" s="1453">
        <f t="shared" si="60"/>
        <v>0</v>
      </c>
      <c r="P350" s="1328">
        <f t="shared" si="61"/>
        <v>0</v>
      </c>
    </row>
    <row r="351" spans="1:16" ht="46.5" hidden="1" customHeight="1" outlineLevel="1" thickBot="1" x14ac:dyDescent="0.3">
      <c r="A351" s="1406" t="str">
        <f t="shared" ref="A351:E366" si="67">A256</f>
        <v>HO
DPR-5</v>
      </c>
      <c r="B351" s="1407" t="str">
        <f t="shared" si="66"/>
        <v>Procurement of energy efficient HT motors at Bhusawal TPS, Koradi TPS, Chandrapur TPS, khaperkheda TPS, Parli TPS &amp; Paras TPS as insurance spares</v>
      </c>
      <c r="C351" s="1406" t="str">
        <f t="shared" si="66"/>
        <v>MERC/TECH 1/CAPEX/20142015/01218</v>
      </c>
      <c r="D351" s="1451">
        <f t="shared" si="66"/>
        <v>41968</v>
      </c>
      <c r="E351" s="1452">
        <f t="shared" si="66"/>
        <v>1.91</v>
      </c>
      <c r="F351" s="1452">
        <f t="shared" si="55"/>
        <v>0</v>
      </c>
      <c r="G351" s="1452">
        <f t="shared" si="56"/>
        <v>0</v>
      </c>
      <c r="H351" s="1452">
        <f t="shared" si="57"/>
        <v>0</v>
      </c>
      <c r="I351" s="1452">
        <v>0</v>
      </c>
      <c r="J351" s="1452">
        <v>0</v>
      </c>
      <c r="K351" s="1458"/>
      <c r="L351" s="1458"/>
      <c r="M351" s="1458">
        <f t="shared" si="62"/>
        <v>0</v>
      </c>
      <c r="N351" s="1458">
        <f t="shared" si="59"/>
        <v>0</v>
      </c>
      <c r="O351" s="1453">
        <f t="shared" si="60"/>
        <v>0</v>
      </c>
      <c r="P351" s="1328">
        <f t="shared" si="61"/>
        <v>0</v>
      </c>
    </row>
    <row r="352" spans="1:16" ht="31" hidden="1" customHeight="1" outlineLevel="1" thickBot="1" x14ac:dyDescent="0.4">
      <c r="A352" s="1416" t="str">
        <f t="shared" si="67"/>
        <v>HO
DPR 5.1</v>
      </c>
      <c r="B352" s="1422" t="str">
        <f t="shared" si="66"/>
        <v>Bhusawal: Procurement of HT motors (Coal Mill/CEP/CWP) for U-3</v>
      </c>
      <c r="C352" s="1416" t="str">
        <f t="shared" si="66"/>
        <v>MERC/TECH 1/CAPEX/20142015/01218</v>
      </c>
      <c r="D352" s="1456">
        <f t="shared" si="66"/>
        <v>41968</v>
      </c>
      <c r="E352" s="1455">
        <f t="shared" si="66"/>
        <v>1.91</v>
      </c>
      <c r="F352" s="1452">
        <f t="shared" si="55"/>
        <v>0.69702600000000003</v>
      </c>
      <c r="G352" s="1452">
        <f t="shared" si="56"/>
        <v>0.69702600000000003</v>
      </c>
      <c r="H352" s="1452">
        <f t="shared" si="57"/>
        <v>0</v>
      </c>
      <c r="I352" s="1452">
        <v>0</v>
      </c>
      <c r="J352" s="1452">
        <v>0</v>
      </c>
      <c r="K352" s="1455"/>
      <c r="L352" s="1455"/>
      <c r="M352" s="1455">
        <f t="shared" si="62"/>
        <v>0</v>
      </c>
      <c r="N352" s="1455">
        <f t="shared" si="59"/>
        <v>0</v>
      </c>
      <c r="O352" s="1453">
        <f t="shared" si="60"/>
        <v>0</v>
      </c>
      <c r="P352" s="1328">
        <f t="shared" si="61"/>
        <v>0</v>
      </c>
    </row>
    <row r="353" spans="1:16" ht="46.5" hidden="1" customHeight="1" outlineLevel="1" thickBot="1" x14ac:dyDescent="0.3">
      <c r="A353" s="1406" t="str">
        <f t="shared" si="67"/>
        <v>HO
DPR 6</v>
      </c>
      <c r="B353" s="1407" t="str">
        <f t="shared" si="66"/>
        <v>Supply, Installation, Commissioning and Operation &amp; Maintenance Services of Continuous Ambient Air Quality Monitoring Stations (CAAQMS) at various TPS</v>
      </c>
      <c r="C353" s="1406" t="str">
        <f t="shared" si="66"/>
        <v>MERC/CAPEX/20162017/00423</v>
      </c>
      <c r="D353" s="1451">
        <f t="shared" si="66"/>
        <v>42585</v>
      </c>
      <c r="E353" s="1452">
        <f t="shared" si="66"/>
        <v>1.3257526714285714</v>
      </c>
      <c r="F353" s="1452">
        <f t="shared" si="55"/>
        <v>0</v>
      </c>
      <c r="G353" s="1452">
        <f t="shared" si="56"/>
        <v>0</v>
      </c>
      <c r="H353" s="1452">
        <f t="shared" si="57"/>
        <v>0</v>
      </c>
      <c r="I353" s="1452">
        <v>0</v>
      </c>
      <c r="J353" s="1452">
        <v>0</v>
      </c>
      <c r="K353" s="1458"/>
      <c r="L353" s="1458"/>
      <c r="M353" s="1458">
        <f t="shared" si="62"/>
        <v>0</v>
      </c>
      <c r="N353" s="1458">
        <f t="shared" si="59"/>
        <v>0</v>
      </c>
      <c r="O353" s="1453">
        <f t="shared" si="60"/>
        <v>0</v>
      </c>
      <c r="P353" s="1328">
        <f t="shared" si="61"/>
        <v>0</v>
      </c>
    </row>
    <row r="354" spans="1:16" ht="31" hidden="1" customHeight="1" outlineLevel="1" thickBot="1" x14ac:dyDescent="0.4">
      <c r="A354" s="1416" t="str">
        <f t="shared" si="67"/>
        <v>HO
DPR 6.1</v>
      </c>
      <c r="B354" s="1422" t="str">
        <f t="shared" si="67"/>
        <v>Bhusawal: Unit 2-3 (1 Nos.)</v>
      </c>
      <c r="C354" s="1416" t="str">
        <f t="shared" si="67"/>
        <v>MERC/CAPEX/20162017/00423</v>
      </c>
      <c r="D354" s="1459">
        <f t="shared" si="67"/>
        <v>42585</v>
      </c>
      <c r="E354" s="1455">
        <f t="shared" si="67"/>
        <v>1.3257526714285714</v>
      </c>
      <c r="F354" s="1452">
        <f t="shared" si="55"/>
        <v>0.9383999666666667</v>
      </c>
      <c r="G354" s="1452">
        <f t="shared" si="56"/>
        <v>0.9383999666666667</v>
      </c>
      <c r="H354" s="1452">
        <f t="shared" si="57"/>
        <v>0</v>
      </c>
      <c r="I354" s="1452">
        <v>0</v>
      </c>
      <c r="J354" s="1452">
        <v>0</v>
      </c>
      <c r="K354" s="1455"/>
      <c r="L354" s="1455"/>
      <c r="M354" s="1455">
        <f t="shared" si="62"/>
        <v>0</v>
      </c>
      <c r="N354" s="1455">
        <f t="shared" si="59"/>
        <v>0</v>
      </c>
      <c r="O354" s="1453">
        <f t="shared" si="60"/>
        <v>0</v>
      </c>
      <c r="P354" s="1328">
        <f t="shared" si="61"/>
        <v>0</v>
      </c>
    </row>
    <row r="355" spans="1:16" ht="31" hidden="1" customHeight="1" outlineLevel="1" thickBot="1" x14ac:dyDescent="0.3">
      <c r="A355" s="1406" t="str">
        <f t="shared" si="67"/>
        <v>HO
DPR 7</v>
      </c>
      <c r="B355" s="1407" t="str">
        <f t="shared" si="67"/>
        <v>Installation of Real Time Online Coal-Ash Analyzer at various TPS</v>
      </c>
      <c r="C355" s="1406" t="str">
        <f t="shared" si="67"/>
        <v>MERC/CAPEX/20162017/00774</v>
      </c>
      <c r="D355" s="1451">
        <f t="shared" si="67"/>
        <v>42643</v>
      </c>
      <c r="E355" s="1452">
        <f t="shared" si="67"/>
        <v>0</v>
      </c>
      <c r="F355" s="1452">
        <f t="shared" si="55"/>
        <v>0</v>
      </c>
      <c r="G355" s="1452">
        <f t="shared" si="56"/>
        <v>0</v>
      </c>
      <c r="H355" s="1452">
        <f t="shared" si="57"/>
        <v>0</v>
      </c>
      <c r="I355" s="1452">
        <v>0</v>
      </c>
      <c r="J355" s="1452">
        <v>0</v>
      </c>
      <c r="K355" s="1458"/>
      <c r="L355" s="1458"/>
      <c r="M355" s="1458">
        <f t="shared" si="62"/>
        <v>0</v>
      </c>
      <c r="N355" s="1458">
        <f t="shared" si="59"/>
        <v>0</v>
      </c>
      <c r="O355" s="1453">
        <f t="shared" si="60"/>
        <v>0</v>
      </c>
      <c r="P355" s="1328">
        <f t="shared" si="61"/>
        <v>0</v>
      </c>
    </row>
    <row r="356" spans="1:16" ht="31" hidden="1" customHeight="1" outlineLevel="1" thickBot="1" x14ac:dyDescent="0.4">
      <c r="A356" s="1416" t="str">
        <f t="shared" si="67"/>
        <v>HO
DPR 7.1</v>
      </c>
      <c r="B356" s="1422" t="str">
        <f t="shared" si="67"/>
        <v>Bhusawal: Unit 2-3</v>
      </c>
      <c r="C356" s="1416" t="str">
        <f t="shared" si="67"/>
        <v>MERC/CAPEX/20162017/00774</v>
      </c>
      <c r="D356" s="1459">
        <f t="shared" si="67"/>
        <v>42643</v>
      </c>
      <c r="E356" s="1455">
        <f t="shared" si="67"/>
        <v>0</v>
      </c>
      <c r="F356" s="1452">
        <f t="shared" si="55"/>
        <v>0</v>
      </c>
      <c r="G356" s="1452">
        <f t="shared" si="56"/>
        <v>0</v>
      </c>
      <c r="H356" s="1452">
        <f t="shared" si="57"/>
        <v>0</v>
      </c>
      <c r="I356" s="1452">
        <v>0</v>
      </c>
      <c r="J356" s="1452">
        <v>0</v>
      </c>
      <c r="K356" s="1455"/>
      <c r="L356" s="1455"/>
      <c r="M356" s="1455">
        <f t="shared" si="62"/>
        <v>0</v>
      </c>
      <c r="N356" s="1455">
        <f t="shared" si="59"/>
        <v>0</v>
      </c>
      <c r="O356" s="1453">
        <f t="shared" si="60"/>
        <v>0</v>
      </c>
      <c r="P356" s="1328">
        <f t="shared" si="61"/>
        <v>0</v>
      </c>
    </row>
    <row r="357" spans="1:16" ht="31" hidden="1" customHeight="1" outlineLevel="1" thickBot="1" x14ac:dyDescent="0.3">
      <c r="A357" s="1424" t="str">
        <f t="shared" si="67"/>
        <v>HO
DPR 13</v>
      </c>
      <c r="B357" s="1425" t="str">
        <f t="shared" si="67"/>
        <v>Construction of new Administrative Building for Mahagenco at Vidyut Bhawan, Katol Road, Nagpur</v>
      </c>
      <c r="C357" s="1460" t="str">
        <f t="shared" si="67"/>
        <v>MERC/CAPEX/2021-2022/MSPGCL/063</v>
      </c>
      <c r="D357" s="1461">
        <f t="shared" si="67"/>
        <v>44604</v>
      </c>
      <c r="E357" s="1462">
        <f t="shared" si="67"/>
        <v>57</v>
      </c>
      <c r="F357" s="302">
        <f t="shared" si="55"/>
        <v>0</v>
      </c>
      <c r="G357" s="302">
        <f t="shared" si="56"/>
        <v>0</v>
      </c>
      <c r="H357" s="302">
        <f t="shared" si="57"/>
        <v>0</v>
      </c>
      <c r="I357" s="1462">
        <v>0</v>
      </c>
      <c r="J357" s="1462">
        <v>0</v>
      </c>
      <c r="K357" s="302"/>
      <c r="L357" s="302"/>
      <c r="M357" s="302">
        <f t="shared" ref="M357:M384" si="68">SUM(J357:L357)</f>
        <v>0</v>
      </c>
      <c r="N357" s="302">
        <f t="shared" si="59"/>
        <v>0</v>
      </c>
    </row>
    <row r="358" spans="1:16" ht="46.5" hidden="1" customHeight="1" outlineLevel="1" thickBot="1" x14ac:dyDescent="0.3">
      <c r="A358" s="1430" t="str">
        <f t="shared" si="67"/>
        <v>HO
DPR 13.1</v>
      </c>
      <c r="B358" s="1431" t="str">
        <f t="shared" si="67"/>
        <v>Construction of new Administrative Building for Mahagenco at Vidyut Bhawan, Katol Road, Nagpur</v>
      </c>
      <c r="C358" s="1427" t="str">
        <f t="shared" si="67"/>
        <v>MERC/CAPEX/2021-2022/MSPGCL/063</v>
      </c>
      <c r="D358" s="1464">
        <f t="shared" si="67"/>
        <v>44604</v>
      </c>
      <c r="E358" s="1465">
        <f t="shared" si="67"/>
        <v>54.24</v>
      </c>
      <c r="F358" s="302">
        <f t="shared" si="55"/>
        <v>0</v>
      </c>
      <c r="G358" s="302">
        <f t="shared" si="56"/>
        <v>0</v>
      </c>
      <c r="H358" s="302">
        <f t="shared" si="57"/>
        <v>0</v>
      </c>
      <c r="I358" s="1462">
        <v>0</v>
      </c>
      <c r="J358" s="1462">
        <v>0</v>
      </c>
      <c r="K358" s="302"/>
      <c r="L358" s="302"/>
      <c r="M358" s="302">
        <f t="shared" si="68"/>
        <v>0</v>
      </c>
      <c r="N358" s="302">
        <f t="shared" si="59"/>
        <v>0</v>
      </c>
    </row>
    <row r="359" spans="1:16" ht="31" hidden="1" customHeight="1" outlineLevel="1" thickBot="1" x14ac:dyDescent="0.3">
      <c r="A359" s="1433">
        <f t="shared" si="67"/>
        <v>0</v>
      </c>
      <c r="B359" s="1431" t="str">
        <f t="shared" si="67"/>
        <v>IDC</v>
      </c>
      <c r="C359" s="1427" t="str">
        <f t="shared" si="67"/>
        <v>MERC/CAPEX/2021-2022/MSPGCL/063</v>
      </c>
      <c r="D359" s="1464">
        <f t="shared" si="67"/>
        <v>44604</v>
      </c>
      <c r="E359" s="1465">
        <f t="shared" si="67"/>
        <v>2.76</v>
      </c>
      <c r="F359" s="302">
        <f t="shared" ref="F359:F384" si="69">F264+I264</f>
        <v>0</v>
      </c>
      <c r="G359" s="302">
        <f t="shared" ref="G359:G384" si="70">G264+M264</f>
        <v>0</v>
      </c>
      <c r="H359" s="302">
        <f t="shared" ref="H359:H384" si="71">F359-G359</f>
        <v>0</v>
      </c>
      <c r="I359" s="1462">
        <v>0</v>
      </c>
      <c r="J359" s="1462">
        <v>0</v>
      </c>
      <c r="K359" s="302"/>
      <c r="L359" s="302"/>
      <c r="M359" s="302">
        <f t="shared" si="68"/>
        <v>0</v>
      </c>
      <c r="N359" s="302">
        <f t="shared" ref="N359:N384" si="72">H359+I359-M359</f>
        <v>0</v>
      </c>
    </row>
    <row r="360" spans="1:16" ht="31" hidden="1" customHeight="1" outlineLevel="1" thickBot="1" x14ac:dyDescent="0.3">
      <c r="A360" s="1424" t="str">
        <f t="shared" si="67"/>
        <v>HO
DPR 16</v>
      </c>
      <c r="B360" s="1425" t="str">
        <f t="shared" si="67"/>
        <v>Centralized Monitoring Solution</v>
      </c>
      <c r="C360" s="1460" t="str">
        <f t="shared" si="67"/>
        <v>MERC/CAPEX/MSPGCL/2023-24/0576</v>
      </c>
      <c r="D360" s="1461">
        <f t="shared" si="67"/>
        <v>45232</v>
      </c>
      <c r="E360" s="1462">
        <f t="shared" si="67"/>
        <v>69.308999999999997</v>
      </c>
      <c r="F360" s="302">
        <f t="shared" si="69"/>
        <v>0</v>
      </c>
      <c r="G360" s="302">
        <f t="shared" si="70"/>
        <v>0</v>
      </c>
      <c r="H360" s="302">
        <f t="shared" si="71"/>
        <v>0</v>
      </c>
      <c r="I360" s="1462">
        <v>0</v>
      </c>
      <c r="J360" s="1462">
        <v>0</v>
      </c>
      <c r="K360" s="302"/>
      <c r="L360" s="302"/>
      <c r="M360" s="302">
        <f t="shared" si="68"/>
        <v>0</v>
      </c>
      <c r="N360" s="302">
        <f t="shared" si="72"/>
        <v>0</v>
      </c>
    </row>
    <row r="361" spans="1:16" ht="46.5" hidden="1" customHeight="1" outlineLevel="1" thickBot="1" x14ac:dyDescent="0.3">
      <c r="A361" s="1430" t="str">
        <f t="shared" si="67"/>
        <v>HO
DPR 16.1</v>
      </c>
      <c r="B361" s="1431" t="str">
        <f t="shared" si="67"/>
        <v>Centralized Monitoring Solution</v>
      </c>
      <c r="C361" s="1427" t="str">
        <f t="shared" si="67"/>
        <v>MERC/CAPEX/MSPGCL/2023-24/0576</v>
      </c>
      <c r="D361" s="1464">
        <f t="shared" si="67"/>
        <v>45232</v>
      </c>
      <c r="E361" s="1465">
        <f t="shared" si="67"/>
        <v>66.009</v>
      </c>
      <c r="F361" s="302">
        <f t="shared" si="69"/>
        <v>0</v>
      </c>
      <c r="G361" s="302">
        <f t="shared" si="70"/>
        <v>0</v>
      </c>
      <c r="H361" s="302">
        <f t="shared" si="71"/>
        <v>0</v>
      </c>
      <c r="I361" s="1462">
        <v>0</v>
      </c>
      <c r="J361" s="1462">
        <v>0</v>
      </c>
      <c r="K361" s="302"/>
      <c r="L361" s="302"/>
      <c r="M361" s="302">
        <f t="shared" si="68"/>
        <v>0</v>
      </c>
      <c r="N361" s="302">
        <f t="shared" si="72"/>
        <v>0</v>
      </c>
    </row>
    <row r="362" spans="1:16" ht="31" hidden="1" customHeight="1" outlineLevel="1" thickBot="1" x14ac:dyDescent="0.3">
      <c r="A362" s="1433"/>
      <c r="B362" s="1431" t="str">
        <f t="shared" si="67"/>
        <v>IDC</v>
      </c>
      <c r="C362" s="1427" t="str">
        <f t="shared" si="67"/>
        <v>MERC/CAPEX/MSPGCL/2023-24/0576</v>
      </c>
      <c r="D362" s="1464">
        <f t="shared" si="67"/>
        <v>45232</v>
      </c>
      <c r="E362" s="1465">
        <f t="shared" si="67"/>
        <v>3.3</v>
      </c>
      <c r="F362" s="302">
        <f t="shared" si="69"/>
        <v>0</v>
      </c>
      <c r="G362" s="302">
        <f t="shared" si="70"/>
        <v>0</v>
      </c>
      <c r="H362" s="302">
        <f t="shared" si="71"/>
        <v>0</v>
      </c>
      <c r="I362" s="1462">
        <v>0</v>
      </c>
      <c r="J362" s="1462">
        <v>0</v>
      </c>
      <c r="K362" s="302"/>
      <c r="L362" s="302"/>
      <c r="M362" s="302">
        <f t="shared" si="68"/>
        <v>0</v>
      </c>
      <c r="N362" s="302">
        <f t="shared" si="72"/>
        <v>0</v>
      </c>
    </row>
    <row r="363" spans="1:16" ht="15.5" hidden="1" customHeight="1" outlineLevel="1" thickBot="1" x14ac:dyDescent="0.3">
      <c r="A363" s="1433"/>
      <c r="B363" s="1431">
        <f t="shared" si="67"/>
        <v>0</v>
      </c>
      <c r="C363" s="1427">
        <f t="shared" si="67"/>
        <v>0</v>
      </c>
      <c r="D363" s="1464">
        <f t="shared" si="67"/>
        <v>0</v>
      </c>
      <c r="E363" s="1465">
        <f t="shared" si="67"/>
        <v>0</v>
      </c>
      <c r="F363" s="302">
        <f t="shared" si="69"/>
        <v>0</v>
      </c>
      <c r="G363" s="302">
        <f t="shared" si="70"/>
        <v>0</v>
      </c>
      <c r="H363" s="302">
        <f t="shared" si="71"/>
        <v>0</v>
      </c>
      <c r="I363" s="1462">
        <v>0</v>
      </c>
      <c r="J363" s="1462">
        <v>0</v>
      </c>
      <c r="K363" s="302"/>
      <c r="L363" s="302"/>
      <c r="M363" s="302">
        <f t="shared" si="68"/>
        <v>0</v>
      </c>
      <c r="N363" s="302">
        <f t="shared" si="72"/>
        <v>0</v>
      </c>
    </row>
    <row r="364" spans="1:16" ht="15.5" hidden="1" customHeight="1" outlineLevel="1" thickBot="1" x14ac:dyDescent="0.3">
      <c r="A364" s="1433"/>
      <c r="B364" s="1431">
        <f t="shared" si="67"/>
        <v>0</v>
      </c>
      <c r="C364" s="1427">
        <f t="shared" si="67"/>
        <v>0</v>
      </c>
      <c r="D364" s="1464">
        <f t="shared" si="67"/>
        <v>0</v>
      </c>
      <c r="E364" s="1465">
        <f t="shared" si="67"/>
        <v>0</v>
      </c>
      <c r="F364" s="302">
        <f t="shared" si="69"/>
        <v>0</v>
      </c>
      <c r="G364" s="302">
        <f t="shared" si="70"/>
        <v>0</v>
      </c>
      <c r="H364" s="302">
        <f t="shared" si="71"/>
        <v>0</v>
      </c>
      <c r="I364" s="1462">
        <v>0</v>
      </c>
      <c r="J364" s="1462">
        <v>0</v>
      </c>
      <c r="K364" s="302"/>
      <c r="L364" s="302"/>
      <c r="M364" s="302">
        <f t="shared" si="68"/>
        <v>0</v>
      </c>
      <c r="N364" s="302">
        <f t="shared" si="72"/>
        <v>0</v>
      </c>
    </row>
    <row r="365" spans="1:16" ht="15.5" hidden="1" customHeight="1" outlineLevel="1" thickBot="1" x14ac:dyDescent="0.3">
      <c r="A365" s="1280"/>
      <c r="B365" s="1329" t="str">
        <f t="shared" si="67"/>
        <v>(ii) Submitted to MERC but yet to be approved</v>
      </c>
      <c r="C365" s="1460">
        <f t="shared" si="67"/>
        <v>0</v>
      </c>
      <c r="D365" s="1464">
        <f t="shared" si="67"/>
        <v>0</v>
      </c>
      <c r="E365" s="1465">
        <f t="shared" si="67"/>
        <v>0</v>
      </c>
      <c r="F365" s="302">
        <f t="shared" si="69"/>
        <v>0</v>
      </c>
      <c r="G365" s="302">
        <f t="shared" si="70"/>
        <v>0</v>
      </c>
      <c r="H365" s="302">
        <f t="shared" si="71"/>
        <v>0</v>
      </c>
      <c r="I365" s="1462">
        <v>0</v>
      </c>
      <c r="J365" s="1462">
        <v>0</v>
      </c>
      <c r="K365" s="302"/>
      <c r="L365" s="302"/>
      <c r="M365" s="302">
        <f t="shared" si="68"/>
        <v>0</v>
      </c>
      <c r="N365" s="302">
        <f t="shared" si="72"/>
        <v>0</v>
      </c>
    </row>
    <row r="366" spans="1:16" ht="15.5" hidden="1" customHeight="1" outlineLevel="1" thickBot="1" x14ac:dyDescent="0.3">
      <c r="A366" s="1280"/>
      <c r="B366" s="1282">
        <f t="shared" si="67"/>
        <v>0</v>
      </c>
      <c r="C366" s="1427">
        <f t="shared" si="67"/>
        <v>0</v>
      </c>
      <c r="D366" s="1464">
        <f t="shared" si="67"/>
        <v>0</v>
      </c>
      <c r="E366" s="1465">
        <f t="shared" si="67"/>
        <v>0</v>
      </c>
      <c r="F366" s="302">
        <f t="shared" si="69"/>
        <v>0</v>
      </c>
      <c r="G366" s="302">
        <f t="shared" si="70"/>
        <v>0</v>
      </c>
      <c r="H366" s="302">
        <f t="shared" si="71"/>
        <v>0</v>
      </c>
      <c r="I366" s="1462">
        <v>0</v>
      </c>
      <c r="J366" s="1462">
        <v>0</v>
      </c>
      <c r="K366" s="302"/>
      <c r="L366" s="302"/>
      <c r="M366" s="302">
        <f t="shared" si="68"/>
        <v>0</v>
      </c>
      <c r="N366" s="302">
        <f t="shared" si="72"/>
        <v>0</v>
      </c>
    </row>
    <row r="367" spans="1:16" ht="15.5" hidden="1" customHeight="1" outlineLevel="1" thickBot="1" x14ac:dyDescent="0.3">
      <c r="A367" s="1301"/>
      <c r="B367" s="1329" t="str">
        <f t="shared" ref="B367:E379" si="73">B272</f>
        <v>(iii) Yet to be submitted to MERC</v>
      </c>
      <c r="C367" s="1460">
        <f t="shared" si="73"/>
        <v>0</v>
      </c>
      <c r="D367" s="1464">
        <f t="shared" si="73"/>
        <v>0</v>
      </c>
      <c r="E367" s="1465">
        <f t="shared" si="73"/>
        <v>0</v>
      </c>
      <c r="F367" s="302">
        <f t="shared" si="69"/>
        <v>0</v>
      </c>
      <c r="G367" s="302">
        <f t="shared" si="70"/>
        <v>0</v>
      </c>
      <c r="H367" s="302">
        <f t="shared" si="71"/>
        <v>0</v>
      </c>
      <c r="I367" s="1462">
        <v>0</v>
      </c>
      <c r="J367" s="1462">
        <v>0</v>
      </c>
      <c r="K367" s="302"/>
      <c r="L367" s="302"/>
      <c r="M367" s="302">
        <f t="shared" si="68"/>
        <v>0</v>
      </c>
      <c r="N367" s="302">
        <f t="shared" si="72"/>
        <v>0</v>
      </c>
    </row>
    <row r="368" spans="1:16" ht="18" hidden="1" customHeight="1" outlineLevel="1" thickBot="1" x14ac:dyDescent="0.3">
      <c r="A368" s="1304"/>
      <c r="B368" s="1305" t="str">
        <f t="shared" si="73"/>
        <v>FY 2026-27</v>
      </c>
      <c r="C368" s="1460">
        <f t="shared" si="73"/>
        <v>0</v>
      </c>
      <c r="D368" s="1464">
        <f t="shared" si="73"/>
        <v>0</v>
      </c>
      <c r="E368" s="1465">
        <f t="shared" si="73"/>
        <v>0</v>
      </c>
      <c r="F368" s="302">
        <f t="shared" si="69"/>
        <v>0</v>
      </c>
      <c r="G368" s="302">
        <f t="shared" si="70"/>
        <v>0</v>
      </c>
      <c r="H368" s="302">
        <f t="shared" si="71"/>
        <v>0</v>
      </c>
      <c r="I368" s="1462">
        <v>0</v>
      </c>
      <c r="J368" s="1462">
        <v>0</v>
      </c>
      <c r="K368" s="302"/>
      <c r="L368" s="302"/>
      <c r="M368" s="302">
        <f t="shared" si="68"/>
        <v>0</v>
      </c>
      <c r="N368" s="302">
        <f t="shared" si="72"/>
        <v>0</v>
      </c>
    </row>
    <row r="369" spans="1:14" ht="31" hidden="1" customHeight="1" outlineLevel="1" thickBot="1" x14ac:dyDescent="0.3">
      <c r="A369" s="1308">
        <f>A274</f>
        <v>1</v>
      </c>
      <c r="B369" s="1425" t="str">
        <f t="shared" si="73"/>
        <v>R&amp;M/LE for Identified Thermal units of MSPGCL  of BTPS U-3 (210 MW)</v>
      </c>
      <c r="C369" s="1460">
        <f t="shared" si="73"/>
        <v>0</v>
      </c>
      <c r="D369" s="1464">
        <f t="shared" si="73"/>
        <v>0</v>
      </c>
      <c r="E369" s="1465">
        <f t="shared" si="73"/>
        <v>0</v>
      </c>
      <c r="F369" s="302">
        <f t="shared" si="69"/>
        <v>0</v>
      </c>
      <c r="G369" s="302">
        <f t="shared" si="70"/>
        <v>0</v>
      </c>
      <c r="H369" s="302">
        <f t="shared" si="71"/>
        <v>0</v>
      </c>
      <c r="I369" s="1462">
        <v>0</v>
      </c>
      <c r="J369" s="1462">
        <v>0</v>
      </c>
      <c r="K369" s="302"/>
      <c r="L369" s="302"/>
      <c r="M369" s="302">
        <f t="shared" si="68"/>
        <v>0</v>
      </c>
      <c r="N369" s="302">
        <f t="shared" si="72"/>
        <v>0</v>
      </c>
    </row>
    <row r="370" spans="1:14" ht="31" hidden="1" customHeight="1" outlineLevel="1" thickBot="1" x14ac:dyDescent="0.3">
      <c r="A370" s="1313">
        <f>A275</f>
        <v>1.1000000000000001</v>
      </c>
      <c r="B370" s="1431" t="str">
        <f t="shared" si="73"/>
        <v>R&amp;M/LE for Identified Thermal units of MSPGCL  of BTPS U-3 (210 MW)</v>
      </c>
      <c r="C370" s="1460">
        <f t="shared" si="73"/>
        <v>0</v>
      </c>
      <c r="D370" s="1464">
        <f t="shared" si="73"/>
        <v>0</v>
      </c>
      <c r="E370" s="1465">
        <f t="shared" si="73"/>
        <v>0</v>
      </c>
      <c r="F370" s="302">
        <f t="shared" si="69"/>
        <v>0</v>
      </c>
      <c r="G370" s="302">
        <f t="shared" si="70"/>
        <v>0</v>
      </c>
      <c r="H370" s="302">
        <f t="shared" si="71"/>
        <v>0</v>
      </c>
      <c r="I370" s="1462">
        <v>0</v>
      </c>
      <c r="J370" s="1462">
        <v>0</v>
      </c>
      <c r="K370" s="302"/>
      <c r="L370" s="302"/>
      <c r="M370" s="302">
        <f t="shared" si="68"/>
        <v>0</v>
      </c>
      <c r="N370" s="302">
        <f t="shared" si="72"/>
        <v>0</v>
      </c>
    </row>
    <row r="371" spans="1:14" ht="15.5" hidden="1" customHeight="1" outlineLevel="1" thickBot="1" x14ac:dyDescent="0.35">
      <c r="A371" s="1301"/>
      <c r="B371" s="265">
        <f t="shared" si="73"/>
        <v>0</v>
      </c>
      <c r="C371" s="1460">
        <f t="shared" si="73"/>
        <v>0</v>
      </c>
      <c r="D371" s="1464">
        <f t="shared" si="73"/>
        <v>0</v>
      </c>
      <c r="E371" s="1465">
        <f t="shared" si="73"/>
        <v>0</v>
      </c>
      <c r="F371" s="302">
        <f t="shared" si="69"/>
        <v>0</v>
      </c>
      <c r="G371" s="302">
        <f t="shared" si="70"/>
        <v>0</v>
      </c>
      <c r="H371" s="302">
        <f t="shared" si="71"/>
        <v>0</v>
      </c>
      <c r="I371" s="1462">
        <v>0</v>
      </c>
      <c r="J371" s="1462">
        <v>0</v>
      </c>
      <c r="K371" s="302"/>
      <c r="L371" s="302"/>
      <c r="M371" s="302">
        <f t="shared" si="68"/>
        <v>0</v>
      </c>
      <c r="N371" s="302">
        <f t="shared" si="72"/>
        <v>0</v>
      </c>
    </row>
    <row r="372" spans="1:14" ht="15.5" hidden="1" customHeight="1" outlineLevel="1" thickBot="1" x14ac:dyDescent="0.35">
      <c r="A372" s="1301"/>
      <c r="B372" s="528" t="str">
        <f t="shared" si="73"/>
        <v>B) Non-DPR Schemes</v>
      </c>
      <c r="C372" s="1427">
        <f t="shared" si="73"/>
        <v>0</v>
      </c>
      <c r="D372" s="1464">
        <f t="shared" si="73"/>
        <v>0</v>
      </c>
      <c r="E372" s="1465">
        <f t="shared" si="73"/>
        <v>0</v>
      </c>
      <c r="F372" s="315">
        <f t="shared" si="69"/>
        <v>0</v>
      </c>
      <c r="G372" s="315">
        <f t="shared" si="70"/>
        <v>0</v>
      </c>
      <c r="H372" s="315">
        <f t="shared" si="71"/>
        <v>0</v>
      </c>
      <c r="I372" s="1462">
        <v>0</v>
      </c>
      <c r="J372" s="1462">
        <v>0</v>
      </c>
      <c r="K372" s="315"/>
      <c r="L372" s="315"/>
      <c r="M372" s="315">
        <f t="shared" si="68"/>
        <v>0</v>
      </c>
      <c r="N372" s="315">
        <f t="shared" si="72"/>
        <v>0</v>
      </c>
    </row>
    <row r="373" spans="1:14" ht="28" hidden="1" customHeight="1" outlineLevel="1" thickBot="1" x14ac:dyDescent="0.35">
      <c r="A373" s="1301">
        <f t="shared" ref="A373:E384" si="74">A278</f>
        <v>1</v>
      </c>
      <c r="B373" s="1315" t="str">
        <f t="shared" si="73"/>
        <v>Design, Supply and Installation for capacity enhancement of conveyor No. 08 at CHP210MW, BTPS.</v>
      </c>
      <c r="C373" s="1427">
        <f t="shared" si="73"/>
        <v>0</v>
      </c>
      <c r="D373" s="1464">
        <f t="shared" si="73"/>
        <v>0</v>
      </c>
      <c r="E373" s="1465">
        <f t="shared" si="73"/>
        <v>0</v>
      </c>
      <c r="F373" s="315">
        <f t="shared" si="69"/>
        <v>1.80009</v>
      </c>
      <c r="G373" s="315">
        <f t="shared" si="70"/>
        <v>1.80009</v>
      </c>
      <c r="H373" s="315">
        <f t="shared" si="71"/>
        <v>0</v>
      </c>
      <c r="I373" s="1462">
        <v>0</v>
      </c>
      <c r="J373" s="1462">
        <v>0</v>
      </c>
      <c r="K373" s="315"/>
      <c r="L373" s="315"/>
      <c r="M373" s="315">
        <f t="shared" si="68"/>
        <v>0</v>
      </c>
      <c r="N373" s="315">
        <f t="shared" si="72"/>
        <v>0</v>
      </c>
    </row>
    <row r="374" spans="1:14" ht="15.5" hidden="1" customHeight="1" outlineLevel="1" thickBot="1" x14ac:dyDescent="0.35">
      <c r="A374" s="1301">
        <f t="shared" si="74"/>
        <v>2</v>
      </c>
      <c r="B374" s="265" t="str">
        <f t="shared" si="73"/>
        <v>SPEAKER &amp; PTZ CAMER</v>
      </c>
      <c r="C374" s="1427">
        <f t="shared" si="73"/>
        <v>0</v>
      </c>
      <c r="D374" s="1464">
        <f t="shared" si="73"/>
        <v>0</v>
      </c>
      <c r="E374" s="1465">
        <f t="shared" si="73"/>
        <v>0</v>
      </c>
      <c r="F374" s="315">
        <f t="shared" si="69"/>
        <v>3.1968099999999999E-2</v>
      </c>
      <c r="G374" s="315">
        <f t="shared" si="70"/>
        <v>3.1968099999999999E-2</v>
      </c>
      <c r="H374" s="315">
        <f t="shared" si="71"/>
        <v>0</v>
      </c>
      <c r="I374" s="1462">
        <v>0</v>
      </c>
      <c r="J374" s="1462">
        <v>0</v>
      </c>
      <c r="K374" s="315"/>
      <c r="L374" s="315"/>
      <c r="M374" s="315">
        <f t="shared" si="68"/>
        <v>0</v>
      </c>
      <c r="N374" s="315">
        <f t="shared" si="72"/>
        <v>0</v>
      </c>
    </row>
    <row r="375" spans="1:14" ht="15.5" hidden="1" customHeight="1" outlineLevel="1" thickBot="1" x14ac:dyDescent="0.35">
      <c r="A375" s="1301">
        <f t="shared" si="74"/>
        <v>3</v>
      </c>
      <c r="B375" s="265" t="str">
        <f t="shared" si="73"/>
        <v>50 INCH TV &amp; 2TN AC</v>
      </c>
      <c r="C375" s="1427">
        <f t="shared" si="73"/>
        <v>0</v>
      </c>
      <c r="D375" s="1464">
        <f t="shared" si="73"/>
        <v>0</v>
      </c>
      <c r="E375" s="1465">
        <f t="shared" si="73"/>
        <v>0</v>
      </c>
      <c r="F375" s="315">
        <f t="shared" si="69"/>
        <v>6.4529699999999995E-2</v>
      </c>
      <c r="G375" s="315">
        <f t="shared" si="70"/>
        <v>6.4529699999999995E-2</v>
      </c>
      <c r="H375" s="315">
        <f t="shared" si="71"/>
        <v>0</v>
      </c>
      <c r="I375" s="1462">
        <v>0</v>
      </c>
      <c r="J375" s="1462">
        <v>0</v>
      </c>
      <c r="K375" s="315"/>
      <c r="L375" s="315"/>
      <c r="M375" s="315">
        <f t="shared" si="68"/>
        <v>0</v>
      </c>
      <c r="N375" s="315">
        <f t="shared" si="72"/>
        <v>0</v>
      </c>
    </row>
    <row r="376" spans="1:14" ht="15.5" hidden="1" customHeight="1" outlineLevel="1" thickBot="1" x14ac:dyDescent="0.35">
      <c r="A376" s="1301">
        <f t="shared" si="74"/>
        <v>4</v>
      </c>
      <c r="B376" s="817" t="str">
        <f t="shared" si="73"/>
        <v>Fixtures &amp; Fitting (10801)</v>
      </c>
      <c r="C376" s="1427">
        <f t="shared" si="73"/>
        <v>0</v>
      </c>
      <c r="D376" s="1464">
        <f t="shared" si="73"/>
        <v>0</v>
      </c>
      <c r="E376" s="1465">
        <f t="shared" si="73"/>
        <v>0</v>
      </c>
      <c r="F376" s="315">
        <f t="shared" si="69"/>
        <v>2.2089600000000001E-2</v>
      </c>
      <c r="G376" s="315">
        <f t="shared" si="70"/>
        <v>2.2089600000000001E-2</v>
      </c>
      <c r="H376" s="315">
        <f t="shared" si="71"/>
        <v>0</v>
      </c>
      <c r="I376" s="1462">
        <v>0</v>
      </c>
      <c r="J376" s="1462">
        <v>0</v>
      </c>
      <c r="K376" s="315"/>
      <c r="L376" s="315"/>
      <c r="M376" s="315">
        <f t="shared" si="68"/>
        <v>0</v>
      </c>
      <c r="N376" s="315">
        <f t="shared" si="72"/>
        <v>0</v>
      </c>
    </row>
    <row r="377" spans="1:14" ht="15.5" hidden="1" customHeight="1" outlineLevel="1" thickBot="1" x14ac:dyDescent="0.35">
      <c r="A377" s="1301">
        <f t="shared" si="74"/>
        <v>5</v>
      </c>
      <c r="B377" s="817" t="str">
        <f t="shared" si="73"/>
        <v>Office equpment (10901)</v>
      </c>
      <c r="C377" s="1427">
        <f t="shared" si="73"/>
        <v>0</v>
      </c>
      <c r="D377" s="1464">
        <f t="shared" si="73"/>
        <v>0</v>
      </c>
      <c r="E377" s="1465">
        <f t="shared" si="73"/>
        <v>0</v>
      </c>
      <c r="F377" s="315">
        <f t="shared" si="69"/>
        <v>0.60696666700000002</v>
      </c>
      <c r="G377" s="315">
        <f t="shared" si="70"/>
        <v>0.60696666700000002</v>
      </c>
      <c r="H377" s="315">
        <f t="shared" si="71"/>
        <v>0</v>
      </c>
      <c r="I377" s="1462">
        <v>0</v>
      </c>
      <c r="J377" s="1462">
        <v>0</v>
      </c>
      <c r="K377" s="315"/>
      <c r="L377" s="315"/>
      <c r="M377" s="315">
        <f t="shared" si="68"/>
        <v>0</v>
      </c>
      <c r="N377" s="315">
        <f t="shared" si="72"/>
        <v>0</v>
      </c>
    </row>
    <row r="378" spans="1:14" ht="15.5" hidden="1" customHeight="1" outlineLevel="1" thickBot="1" x14ac:dyDescent="0.35">
      <c r="A378" s="1301">
        <f t="shared" si="74"/>
        <v>6</v>
      </c>
      <c r="B378" s="265" t="str">
        <f t="shared" si="73"/>
        <v>Gearboxes for CHP Elecon Make</v>
      </c>
      <c r="C378" s="1427">
        <f t="shared" si="73"/>
        <v>0</v>
      </c>
      <c r="D378" s="1464">
        <f t="shared" si="73"/>
        <v>0</v>
      </c>
      <c r="E378" s="1465">
        <f t="shared" si="73"/>
        <v>0</v>
      </c>
      <c r="F378" s="315">
        <f t="shared" si="69"/>
        <v>0.345735079</v>
      </c>
      <c r="G378" s="315">
        <f t="shared" si="70"/>
        <v>0.345735079</v>
      </c>
      <c r="H378" s="315">
        <f t="shared" si="71"/>
        <v>0</v>
      </c>
      <c r="I378" s="1462">
        <v>0</v>
      </c>
      <c r="J378" s="1462">
        <v>0</v>
      </c>
      <c r="K378" s="315"/>
      <c r="L378" s="315"/>
      <c r="M378" s="315">
        <f t="shared" si="68"/>
        <v>0</v>
      </c>
      <c r="N378" s="315">
        <f t="shared" si="72"/>
        <v>0</v>
      </c>
    </row>
    <row r="379" spans="1:14" ht="15.5" hidden="1" customHeight="1" outlineLevel="1" thickBot="1" x14ac:dyDescent="0.4">
      <c r="A379" s="1301">
        <f t="shared" si="74"/>
        <v>7</v>
      </c>
      <c r="B379" s="1319" t="str">
        <f t="shared" si="73"/>
        <v>General Assets</v>
      </c>
      <c r="C379" s="1427">
        <f t="shared" si="73"/>
        <v>0</v>
      </c>
      <c r="D379" s="1464">
        <f t="shared" si="73"/>
        <v>0</v>
      </c>
      <c r="E379" s="1465">
        <f t="shared" si="73"/>
        <v>0</v>
      </c>
      <c r="F379" s="315">
        <f t="shared" si="69"/>
        <v>0</v>
      </c>
      <c r="G379" s="315">
        <f t="shared" si="70"/>
        <v>0</v>
      </c>
      <c r="H379" s="315">
        <f t="shared" si="71"/>
        <v>0</v>
      </c>
      <c r="I379" s="1462">
        <v>0</v>
      </c>
      <c r="J379" s="1462">
        <v>0</v>
      </c>
      <c r="K379" s="315"/>
      <c r="L379" s="315"/>
      <c r="M379" s="315">
        <f t="shared" si="68"/>
        <v>0</v>
      </c>
      <c r="N379" s="315">
        <f t="shared" si="72"/>
        <v>0</v>
      </c>
    </row>
    <row r="380" spans="1:14" ht="15.5" hidden="1" customHeight="1" outlineLevel="1" thickBot="1" x14ac:dyDescent="0.4">
      <c r="A380" s="1301">
        <f t="shared" si="74"/>
        <v>8</v>
      </c>
      <c r="B380" s="1319" t="str">
        <f t="shared" si="74"/>
        <v>Furniture &amp; Fixture</v>
      </c>
      <c r="C380" s="1427">
        <f t="shared" si="74"/>
        <v>0</v>
      </c>
      <c r="D380" s="1464">
        <f t="shared" si="74"/>
        <v>0</v>
      </c>
      <c r="E380" s="1465">
        <f t="shared" si="74"/>
        <v>0</v>
      </c>
      <c r="F380" s="315">
        <f t="shared" si="69"/>
        <v>3.4999940000000002E-3</v>
      </c>
      <c r="G380" s="315">
        <f t="shared" si="70"/>
        <v>9.3499994000000003E-2</v>
      </c>
      <c r="H380" s="315">
        <f t="shared" si="71"/>
        <v>-0.09</v>
      </c>
      <c r="I380" s="1462">
        <v>0</v>
      </c>
      <c r="J380" s="1462">
        <v>0</v>
      </c>
      <c r="K380" s="315"/>
      <c r="L380" s="315"/>
      <c r="M380" s="315">
        <f t="shared" si="68"/>
        <v>0</v>
      </c>
      <c r="N380" s="315">
        <f t="shared" si="72"/>
        <v>-0.09</v>
      </c>
    </row>
    <row r="381" spans="1:14" ht="15.5" hidden="1" customHeight="1" outlineLevel="1" thickBot="1" x14ac:dyDescent="0.4">
      <c r="A381" s="1301">
        <f t="shared" si="74"/>
        <v>9</v>
      </c>
      <c r="B381" s="1319" t="str">
        <f t="shared" si="74"/>
        <v xml:space="preserve">Office Equipment </v>
      </c>
      <c r="C381" s="1427">
        <f t="shared" si="74"/>
        <v>0</v>
      </c>
      <c r="D381" s="1464">
        <f t="shared" si="74"/>
        <v>0</v>
      </c>
      <c r="E381" s="1465">
        <f t="shared" si="74"/>
        <v>0</v>
      </c>
      <c r="F381" s="315">
        <f t="shared" si="69"/>
        <v>0.258863014</v>
      </c>
      <c r="G381" s="315">
        <f t="shared" si="70"/>
        <v>0.258863014</v>
      </c>
      <c r="H381" s="315">
        <f t="shared" si="71"/>
        <v>0</v>
      </c>
      <c r="I381" s="1462">
        <v>0</v>
      </c>
      <c r="J381" s="1462">
        <v>0</v>
      </c>
      <c r="K381" s="315"/>
      <c r="L381" s="315"/>
      <c r="M381" s="315">
        <f t="shared" si="68"/>
        <v>0</v>
      </c>
      <c r="N381" s="315">
        <f t="shared" si="72"/>
        <v>0</v>
      </c>
    </row>
    <row r="382" spans="1:14" ht="15.5" hidden="1" customHeight="1" outlineLevel="1" thickBot="1" x14ac:dyDescent="0.4">
      <c r="A382" s="1301">
        <f t="shared" si="74"/>
        <v>10</v>
      </c>
      <c r="B382" s="1319" t="str">
        <f t="shared" si="74"/>
        <v>Furniture &amp; Fixture</v>
      </c>
      <c r="C382" s="1427">
        <f t="shared" si="74"/>
        <v>0</v>
      </c>
      <c r="D382" s="1464">
        <f t="shared" si="74"/>
        <v>0</v>
      </c>
      <c r="E382" s="1465">
        <f t="shared" si="74"/>
        <v>0</v>
      </c>
      <c r="F382" s="315">
        <f t="shared" si="69"/>
        <v>0.20719743600000001</v>
      </c>
      <c r="G382" s="315">
        <f t="shared" si="70"/>
        <v>0.20719743600000001</v>
      </c>
      <c r="H382" s="315">
        <f t="shared" si="71"/>
        <v>0</v>
      </c>
      <c r="I382" s="1462">
        <v>0</v>
      </c>
      <c r="J382" s="1462">
        <v>0</v>
      </c>
      <c r="K382" s="315"/>
      <c r="L382" s="315"/>
      <c r="M382" s="315">
        <f t="shared" si="68"/>
        <v>0</v>
      </c>
      <c r="N382" s="315">
        <f t="shared" si="72"/>
        <v>0</v>
      </c>
    </row>
    <row r="383" spans="1:14" s="1334" customFormat="1" ht="15.5" hidden="1" customHeight="1" outlineLevel="1" thickBot="1" x14ac:dyDescent="0.4">
      <c r="A383" s="1301">
        <f t="shared" si="74"/>
        <v>11</v>
      </c>
      <c r="B383" s="1319" t="str">
        <f t="shared" si="74"/>
        <v xml:space="preserve">Office Equipment </v>
      </c>
      <c r="C383" s="1427">
        <f t="shared" si="74"/>
        <v>0</v>
      </c>
      <c r="D383" s="1464">
        <f t="shared" si="74"/>
        <v>0</v>
      </c>
      <c r="E383" s="1465">
        <f t="shared" si="74"/>
        <v>0</v>
      </c>
      <c r="F383" s="315">
        <f t="shared" si="69"/>
        <v>6.3896999999999999E-3</v>
      </c>
      <c r="G383" s="315">
        <f t="shared" si="70"/>
        <v>6.3896999999999999E-3</v>
      </c>
      <c r="H383" s="315">
        <f t="shared" si="71"/>
        <v>0</v>
      </c>
      <c r="I383" s="1462">
        <v>0</v>
      </c>
      <c r="J383" s="1462">
        <v>0</v>
      </c>
      <c r="K383" s="315"/>
      <c r="L383" s="315"/>
      <c r="M383" s="315">
        <f t="shared" si="68"/>
        <v>0</v>
      </c>
      <c r="N383" s="315">
        <f t="shared" si="72"/>
        <v>0</v>
      </c>
    </row>
    <row r="384" spans="1:14" s="1334" customFormat="1" ht="16" hidden="1" outlineLevel="1" thickBot="1" x14ac:dyDescent="0.4">
      <c r="A384" s="1301">
        <f t="shared" si="74"/>
        <v>12</v>
      </c>
      <c r="B384" s="1319" t="str">
        <f t="shared" si="74"/>
        <v>Land</v>
      </c>
      <c r="C384" s="1427">
        <f t="shared" si="74"/>
        <v>0</v>
      </c>
      <c r="D384" s="1464">
        <f t="shared" si="74"/>
        <v>0</v>
      </c>
      <c r="E384" s="1465">
        <f t="shared" si="74"/>
        <v>0</v>
      </c>
      <c r="F384" s="315">
        <f t="shared" si="69"/>
        <v>0</v>
      </c>
      <c r="G384" s="315">
        <f t="shared" si="70"/>
        <v>0.19434199999999999</v>
      </c>
      <c r="H384" s="315">
        <f t="shared" si="71"/>
        <v>-0.19434199999999999</v>
      </c>
      <c r="I384" s="1462">
        <v>0</v>
      </c>
      <c r="J384" s="1462">
        <v>0</v>
      </c>
      <c r="K384" s="315"/>
      <c r="L384" s="315"/>
      <c r="M384" s="315">
        <f t="shared" si="68"/>
        <v>0</v>
      </c>
      <c r="N384" s="315">
        <f t="shared" si="72"/>
        <v>-0.19434199999999999</v>
      </c>
    </row>
    <row r="385" spans="1:16" ht="15.5" collapsed="1" thickBot="1" x14ac:dyDescent="0.3">
      <c r="A385" s="1330"/>
      <c r="B385" s="1331" t="str">
        <f>B290</f>
        <v>Total</v>
      </c>
      <c r="C385" s="1332"/>
      <c r="D385" s="1333"/>
      <c r="E385" s="1466"/>
      <c r="F385" s="1466">
        <f>SUM(F295:F384)</f>
        <v>62.372835094641879</v>
      </c>
      <c r="G385" s="1466">
        <f t="shared" ref="G385:N385" si="75">SUM(G295:G384)</f>
        <v>62.657177094641874</v>
      </c>
      <c r="H385" s="1466">
        <f t="shared" si="75"/>
        <v>-0.28434199999999998</v>
      </c>
      <c r="I385" s="1466">
        <f t="shared" si="75"/>
        <v>0</v>
      </c>
      <c r="J385" s="1466">
        <f t="shared" si="75"/>
        <v>0</v>
      </c>
      <c r="K385" s="1466">
        <f t="shared" si="75"/>
        <v>0</v>
      </c>
      <c r="L385" s="1466">
        <f t="shared" si="75"/>
        <v>0</v>
      </c>
      <c r="M385" s="1466">
        <f t="shared" si="75"/>
        <v>0</v>
      </c>
      <c r="N385" s="1466">
        <f t="shared" si="75"/>
        <v>-0.28434199999999998</v>
      </c>
    </row>
    <row r="387" spans="1:16" ht="14.5" thickBot="1" x14ac:dyDescent="0.3">
      <c r="A387" s="1445"/>
      <c r="B387" s="543" t="s">
        <v>1068</v>
      </c>
      <c r="C387" s="1446"/>
      <c r="D387" s="1447"/>
      <c r="E387" s="315"/>
      <c r="F387" s="315"/>
      <c r="G387" s="315"/>
      <c r="H387" s="315"/>
      <c r="I387" s="315"/>
      <c r="J387" s="315"/>
      <c r="K387" s="315"/>
      <c r="L387" s="315"/>
      <c r="M387" s="315"/>
      <c r="N387" s="315"/>
    </row>
    <row r="388" spans="1:16" ht="15" hidden="1" customHeight="1" outlineLevel="1" thickBot="1" x14ac:dyDescent="0.35">
      <c r="A388" s="1280"/>
      <c r="B388" s="1327" t="str">
        <f t="shared" ref="B388:E394" si="76">B293</f>
        <v>a) DPR Schemes</v>
      </c>
      <c r="C388" s="1446"/>
      <c r="D388" s="1447"/>
      <c r="E388" s="315"/>
      <c r="F388" s="315"/>
      <c r="G388" s="315"/>
      <c r="H388" s="315"/>
      <c r="I388" s="315"/>
      <c r="J388" s="315"/>
      <c r="K388" s="315"/>
      <c r="L388" s="315"/>
      <c r="M388" s="315"/>
      <c r="N388" s="315"/>
    </row>
    <row r="389" spans="1:16" ht="14" hidden="1" customHeight="1" outlineLevel="1" thickBot="1" x14ac:dyDescent="0.3">
      <c r="A389" s="1280"/>
      <c r="B389" s="1282" t="str">
        <f t="shared" si="76"/>
        <v>(i) In-principle approved by MERC</v>
      </c>
      <c r="C389" s="1449"/>
      <c r="D389" s="1450"/>
      <c r="E389" s="315"/>
      <c r="F389" s="315"/>
      <c r="G389" s="315"/>
      <c r="H389" s="315"/>
      <c r="I389" s="315"/>
      <c r="J389" s="315"/>
      <c r="K389" s="315"/>
      <c r="L389" s="315"/>
      <c r="M389" s="315"/>
      <c r="N389" s="315"/>
    </row>
    <row r="390" spans="1:16" ht="31" hidden="1" customHeight="1" outlineLevel="1" thickBot="1" x14ac:dyDescent="0.3">
      <c r="A390" s="1406">
        <f>A295</f>
        <v>1</v>
      </c>
      <c r="B390" s="1407" t="str">
        <f t="shared" si="76"/>
        <v>Replacement of economizer &amp; LTSH coils at Unit # 2</v>
      </c>
      <c r="C390" s="1406" t="str">
        <f t="shared" si="76"/>
        <v>MERC/CAPEX/20122013/00179</v>
      </c>
      <c r="D390" s="1451">
        <f t="shared" si="76"/>
        <v>41022</v>
      </c>
      <c r="E390" s="1452">
        <f t="shared" si="76"/>
        <v>10.177999999999999</v>
      </c>
      <c r="F390" s="1452">
        <f t="shared" ref="F390:F453" si="77">F295+I295</f>
        <v>0</v>
      </c>
      <c r="G390" s="1452">
        <f t="shared" ref="G390:G453" si="78">G295+M295</f>
        <v>0</v>
      </c>
      <c r="H390" s="1452">
        <f t="shared" ref="H390:H453" si="79">F390-G390</f>
        <v>0</v>
      </c>
      <c r="I390" s="1452">
        <v>0</v>
      </c>
      <c r="J390" s="1452">
        <v>0</v>
      </c>
      <c r="K390" s="1452"/>
      <c r="L390" s="1452"/>
      <c r="M390" s="1452">
        <f t="shared" ref="M390" si="80">SUM(J390:L390)</f>
        <v>0</v>
      </c>
      <c r="N390" s="1452">
        <f t="shared" ref="N390:N453" si="81">H390+I390-M390</f>
        <v>0</v>
      </c>
      <c r="O390" s="1453">
        <f t="shared" ref="O390:O451" si="82">MAX(0,IF(M390=0,0,IF(G390+M390&lt;E390,M390,E390-G390)))</f>
        <v>0</v>
      </c>
      <c r="P390" s="1328">
        <f t="shared" ref="P390:P451" si="83">M390-O390</f>
        <v>0</v>
      </c>
    </row>
    <row r="391" spans="1:16" ht="15.5" hidden="1" customHeight="1" outlineLevel="1" thickBot="1" x14ac:dyDescent="0.3">
      <c r="A391" s="1411">
        <f>A296</f>
        <v>1.1000000000000001</v>
      </c>
      <c r="B391" s="1412" t="str">
        <f t="shared" si="76"/>
        <v>Replacement of Economiser Coil</v>
      </c>
      <c r="C391" s="1411" t="str">
        <f t="shared" si="76"/>
        <v>MERC/CAPEX/20122013/00179</v>
      </c>
      <c r="D391" s="1454">
        <f t="shared" si="76"/>
        <v>41022</v>
      </c>
      <c r="E391" s="1414">
        <f t="shared" si="76"/>
        <v>3.524</v>
      </c>
      <c r="F391" s="1452">
        <f t="shared" si="77"/>
        <v>3.47</v>
      </c>
      <c r="G391" s="1452">
        <f t="shared" si="78"/>
        <v>3.47</v>
      </c>
      <c r="H391" s="1452">
        <f t="shared" si="79"/>
        <v>0</v>
      </c>
      <c r="I391" s="1452">
        <v>0</v>
      </c>
      <c r="J391" s="1452">
        <v>0</v>
      </c>
      <c r="K391" s="1414"/>
      <c r="L391" s="1414"/>
      <c r="M391" s="1414">
        <f t="shared" ref="M391:M451" si="84">SUM(J391:L391)</f>
        <v>0</v>
      </c>
      <c r="N391" s="1414">
        <f t="shared" si="81"/>
        <v>0</v>
      </c>
      <c r="O391" s="1453">
        <f t="shared" si="82"/>
        <v>0</v>
      </c>
      <c r="P391" s="1328">
        <f t="shared" si="83"/>
        <v>0</v>
      </c>
    </row>
    <row r="392" spans="1:16" ht="15.5" hidden="1" customHeight="1" outlineLevel="1" thickBot="1" x14ac:dyDescent="0.3">
      <c r="A392" s="1411"/>
      <c r="B392" s="1412" t="str">
        <f t="shared" si="76"/>
        <v>IDC</v>
      </c>
      <c r="C392" s="1411" t="str">
        <f t="shared" si="76"/>
        <v>MERC/CAPEX/20122013/00179</v>
      </c>
      <c r="D392" s="1454">
        <f t="shared" si="76"/>
        <v>41022</v>
      </c>
      <c r="E392" s="1414">
        <f t="shared" si="76"/>
        <v>0.20300000000000001</v>
      </c>
      <c r="F392" s="1452">
        <f t="shared" si="77"/>
        <v>0</v>
      </c>
      <c r="G392" s="1452">
        <f t="shared" si="78"/>
        <v>0</v>
      </c>
      <c r="H392" s="1452">
        <f t="shared" si="79"/>
        <v>0</v>
      </c>
      <c r="I392" s="1452">
        <v>0</v>
      </c>
      <c r="J392" s="1452">
        <v>0</v>
      </c>
      <c r="K392" s="1414"/>
      <c r="L392" s="1414"/>
      <c r="M392" s="1414">
        <f t="shared" si="84"/>
        <v>0</v>
      </c>
      <c r="N392" s="1414">
        <f t="shared" si="81"/>
        <v>0</v>
      </c>
      <c r="O392" s="1453">
        <f t="shared" si="82"/>
        <v>0</v>
      </c>
      <c r="P392" s="1328">
        <f t="shared" si="83"/>
        <v>0</v>
      </c>
    </row>
    <row r="393" spans="1:16" ht="15.5" hidden="1" customHeight="1" outlineLevel="1" thickBot="1" x14ac:dyDescent="0.3">
      <c r="A393" s="1411">
        <f>A298</f>
        <v>1.2</v>
      </c>
      <c r="B393" s="1412" t="str">
        <f t="shared" si="76"/>
        <v>Replacement of LTSH Coil</v>
      </c>
      <c r="C393" s="1411" t="str">
        <f t="shared" si="76"/>
        <v>MERC/CAPEX/20122013/00179</v>
      </c>
      <c r="D393" s="1454">
        <f t="shared" si="76"/>
        <v>41022</v>
      </c>
      <c r="E393" s="1414">
        <f t="shared" si="76"/>
        <v>6.0940000000000003</v>
      </c>
      <c r="F393" s="1452">
        <f t="shared" si="77"/>
        <v>5.32</v>
      </c>
      <c r="G393" s="1452">
        <f t="shared" si="78"/>
        <v>5.32</v>
      </c>
      <c r="H393" s="1452">
        <f t="shared" si="79"/>
        <v>0</v>
      </c>
      <c r="I393" s="1452">
        <v>0</v>
      </c>
      <c r="J393" s="1452">
        <v>0</v>
      </c>
      <c r="K393" s="1414"/>
      <c r="L393" s="1414"/>
      <c r="M393" s="1414">
        <f t="shared" si="84"/>
        <v>0</v>
      </c>
      <c r="N393" s="1414">
        <f t="shared" si="81"/>
        <v>0</v>
      </c>
      <c r="O393" s="1453">
        <f t="shared" si="82"/>
        <v>0</v>
      </c>
      <c r="P393" s="1328">
        <f t="shared" si="83"/>
        <v>0</v>
      </c>
    </row>
    <row r="394" spans="1:16" ht="15.5" hidden="1" customHeight="1" outlineLevel="1" thickBot="1" x14ac:dyDescent="0.3">
      <c r="A394" s="1411"/>
      <c r="B394" s="1412" t="str">
        <f t="shared" si="76"/>
        <v>IDC</v>
      </c>
      <c r="C394" s="1411" t="str">
        <f t="shared" si="76"/>
        <v>MERC/CAPEX/20122013/00179</v>
      </c>
      <c r="D394" s="1454">
        <f t="shared" si="76"/>
        <v>41022</v>
      </c>
      <c r="E394" s="1414">
        <f t="shared" si="76"/>
        <v>0.35699999999999998</v>
      </c>
      <c r="F394" s="1452">
        <f t="shared" si="77"/>
        <v>0</v>
      </c>
      <c r="G394" s="1452">
        <f t="shared" si="78"/>
        <v>0</v>
      </c>
      <c r="H394" s="1452">
        <f t="shared" si="79"/>
        <v>0</v>
      </c>
      <c r="I394" s="1452">
        <v>0</v>
      </c>
      <c r="J394" s="1452">
        <v>0</v>
      </c>
      <c r="K394" s="1414"/>
      <c r="L394" s="1414"/>
      <c r="M394" s="1414">
        <f t="shared" si="84"/>
        <v>0</v>
      </c>
      <c r="N394" s="1414">
        <f t="shared" si="81"/>
        <v>0</v>
      </c>
      <c r="O394" s="1453">
        <f t="shared" si="82"/>
        <v>0</v>
      </c>
      <c r="P394" s="1328">
        <f t="shared" si="83"/>
        <v>0</v>
      </c>
    </row>
    <row r="395" spans="1:16" ht="31" hidden="1" customHeight="1" outlineLevel="1" thickBot="1" x14ac:dyDescent="0.3">
      <c r="A395" s="1406">
        <f t="shared" ref="A395:E403" si="85">A300</f>
        <v>2</v>
      </c>
      <c r="B395" s="1407" t="str">
        <f t="shared" si="85"/>
        <v>Boiler and Turbine improvement
(Station Heat Rate Improvement)</v>
      </c>
      <c r="C395" s="1406" t="str">
        <f t="shared" si="85"/>
        <v>MERC/TECH 1/CAPEX/20122013/02325</v>
      </c>
      <c r="D395" s="1451">
        <f t="shared" si="85"/>
        <v>41285</v>
      </c>
      <c r="E395" s="1452">
        <f t="shared" si="85"/>
        <v>16.783805100000002</v>
      </c>
      <c r="F395" s="1452">
        <f t="shared" si="77"/>
        <v>0</v>
      </c>
      <c r="G395" s="1452">
        <f t="shared" si="78"/>
        <v>0</v>
      </c>
      <c r="H395" s="1452">
        <f t="shared" si="79"/>
        <v>0</v>
      </c>
      <c r="I395" s="1452">
        <v>0</v>
      </c>
      <c r="J395" s="1452">
        <v>0</v>
      </c>
      <c r="K395" s="1452"/>
      <c r="L395" s="1452"/>
      <c r="M395" s="1452">
        <f t="shared" si="84"/>
        <v>0</v>
      </c>
      <c r="N395" s="1452">
        <f t="shared" si="81"/>
        <v>0</v>
      </c>
      <c r="O395" s="1453">
        <f t="shared" si="82"/>
        <v>0</v>
      </c>
      <c r="P395" s="1328">
        <f t="shared" si="83"/>
        <v>0</v>
      </c>
    </row>
    <row r="396" spans="1:16" ht="31" hidden="1" customHeight="1" outlineLevel="1" thickBot="1" x14ac:dyDescent="0.3">
      <c r="A396" s="1411">
        <f t="shared" si="85"/>
        <v>2.1</v>
      </c>
      <c r="B396" s="1412" t="str">
        <f t="shared" si="85"/>
        <v>Vent condenser performance improvement by replacement of eroded tube nest by unit 3.</v>
      </c>
      <c r="C396" s="1411" t="str">
        <f t="shared" si="85"/>
        <v>MERC/TECH 1/CAPEX/20122013/02325</v>
      </c>
      <c r="D396" s="1454">
        <f t="shared" si="85"/>
        <v>41285</v>
      </c>
      <c r="E396" s="1414">
        <f t="shared" si="85"/>
        <v>0.28599999999999998</v>
      </c>
      <c r="F396" s="1452">
        <f t="shared" si="77"/>
        <v>0</v>
      </c>
      <c r="G396" s="1452">
        <f t="shared" si="78"/>
        <v>0</v>
      </c>
      <c r="H396" s="1452">
        <f t="shared" si="79"/>
        <v>0</v>
      </c>
      <c r="I396" s="1452">
        <v>0</v>
      </c>
      <c r="J396" s="1452">
        <v>0</v>
      </c>
      <c r="K396" s="1414"/>
      <c r="L396" s="1414"/>
      <c r="M396" s="1414">
        <f t="shared" si="84"/>
        <v>0</v>
      </c>
      <c r="N396" s="1414">
        <f t="shared" si="81"/>
        <v>0</v>
      </c>
      <c r="O396" s="1453">
        <f t="shared" si="82"/>
        <v>0</v>
      </c>
      <c r="P396" s="1328">
        <f t="shared" si="83"/>
        <v>0</v>
      </c>
    </row>
    <row r="397" spans="1:16" ht="31" hidden="1" customHeight="1" outlineLevel="1" thickBot="1" x14ac:dyDescent="0.3">
      <c r="A397" s="1411">
        <f t="shared" si="85"/>
        <v>2.2000000000000002</v>
      </c>
      <c r="B397" s="1412" t="str">
        <f t="shared" si="85"/>
        <v>Replacement of major extraction valves &amp;NRVs of unit 3</v>
      </c>
      <c r="C397" s="1411" t="str">
        <f t="shared" si="85"/>
        <v>MERC/TECH 1/CAPEX/20122013/02325</v>
      </c>
      <c r="D397" s="1454">
        <f t="shared" si="85"/>
        <v>41285</v>
      </c>
      <c r="E397" s="1414">
        <f t="shared" si="85"/>
        <v>0.51900000000000002</v>
      </c>
      <c r="F397" s="1452">
        <f t="shared" si="77"/>
        <v>0</v>
      </c>
      <c r="G397" s="1452">
        <f t="shared" si="78"/>
        <v>0</v>
      </c>
      <c r="H397" s="1452">
        <f t="shared" si="79"/>
        <v>0</v>
      </c>
      <c r="I397" s="1452">
        <v>0</v>
      </c>
      <c r="J397" s="1452">
        <v>0</v>
      </c>
      <c r="K397" s="1414"/>
      <c r="L397" s="1414"/>
      <c r="M397" s="1414">
        <f t="shared" si="84"/>
        <v>0</v>
      </c>
      <c r="N397" s="1414">
        <f t="shared" si="81"/>
        <v>0</v>
      </c>
      <c r="O397" s="1453">
        <f t="shared" si="82"/>
        <v>0</v>
      </c>
      <c r="P397" s="1328">
        <f t="shared" si="83"/>
        <v>0</v>
      </c>
    </row>
    <row r="398" spans="1:16" ht="31" hidden="1" customHeight="1" outlineLevel="1" thickBot="1" x14ac:dyDescent="0.3">
      <c r="A398" s="1411">
        <f t="shared" si="85"/>
        <v>2.2999999999999998</v>
      </c>
      <c r="B398" s="1412" t="str">
        <f t="shared" si="85"/>
        <v>60% replacement of boiler skin insulation (Unit 2)</v>
      </c>
      <c r="C398" s="1411" t="str">
        <f t="shared" si="85"/>
        <v>MERC/TECH 1/CAPEX/20122013/02325</v>
      </c>
      <c r="D398" s="1454">
        <f t="shared" si="85"/>
        <v>41285</v>
      </c>
      <c r="E398" s="1414">
        <f t="shared" si="85"/>
        <v>0.29299999999999998</v>
      </c>
      <c r="F398" s="1452">
        <f t="shared" si="77"/>
        <v>0</v>
      </c>
      <c r="G398" s="1452">
        <f t="shared" si="78"/>
        <v>0</v>
      </c>
      <c r="H398" s="1452">
        <f t="shared" si="79"/>
        <v>0</v>
      </c>
      <c r="I398" s="1452">
        <v>0</v>
      </c>
      <c r="J398" s="1452">
        <v>0</v>
      </c>
      <c r="K398" s="1414"/>
      <c r="L398" s="1414"/>
      <c r="M398" s="1414">
        <f t="shared" si="84"/>
        <v>0</v>
      </c>
      <c r="N398" s="1414">
        <f t="shared" si="81"/>
        <v>0</v>
      </c>
      <c r="O398" s="1453">
        <f t="shared" si="82"/>
        <v>0</v>
      </c>
      <c r="P398" s="1328">
        <f t="shared" si="83"/>
        <v>0</v>
      </c>
    </row>
    <row r="399" spans="1:16" ht="31" hidden="1" customHeight="1" outlineLevel="1" thickBot="1" x14ac:dyDescent="0.3">
      <c r="A399" s="1411">
        <f t="shared" si="85"/>
        <v>2.4</v>
      </c>
      <c r="B399" s="1412" t="str">
        <f t="shared" si="85"/>
        <v>Replacement of DM make up ( unit 3) and GSH water pump.( units 2 &amp;3)</v>
      </c>
      <c r="C399" s="1411" t="str">
        <f t="shared" si="85"/>
        <v>MERC/TECH 1/CAPEX/20122013/02325</v>
      </c>
      <c r="D399" s="1454">
        <f t="shared" si="85"/>
        <v>41285</v>
      </c>
      <c r="E399" s="1414">
        <f t="shared" si="85"/>
        <v>0.20599999999999999</v>
      </c>
      <c r="F399" s="1452">
        <f t="shared" si="77"/>
        <v>0.26354099999999997</v>
      </c>
      <c r="G399" s="1452">
        <f t="shared" si="78"/>
        <v>0.26354099999999997</v>
      </c>
      <c r="H399" s="1452">
        <f t="shared" si="79"/>
        <v>0</v>
      </c>
      <c r="I399" s="1452">
        <v>0</v>
      </c>
      <c r="J399" s="1452">
        <v>0</v>
      </c>
      <c r="K399" s="1414"/>
      <c r="L399" s="1414"/>
      <c r="M399" s="1414">
        <f t="shared" si="84"/>
        <v>0</v>
      </c>
      <c r="N399" s="1414">
        <f t="shared" si="81"/>
        <v>0</v>
      </c>
      <c r="O399" s="1453">
        <f t="shared" si="82"/>
        <v>0</v>
      </c>
      <c r="P399" s="1328">
        <f t="shared" si="83"/>
        <v>0</v>
      </c>
    </row>
    <row r="400" spans="1:16" ht="31" hidden="1" customHeight="1" outlineLevel="1" thickBot="1" x14ac:dyDescent="0.3">
      <c r="A400" s="1411">
        <f t="shared" si="85"/>
        <v>2.5</v>
      </c>
      <c r="B400" s="1412" t="str">
        <f t="shared" si="85"/>
        <v>Replacement of LTSH coils (unit 3)</v>
      </c>
      <c r="C400" s="1411" t="str">
        <f t="shared" si="85"/>
        <v>MERC/TECH 1/CAPEX/20122013/02325</v>
      </c>
      <c r="D400" s="1454">
        <f t="shared" si="85"/>
        <v>41285</v>
      </c>
      <c r="E400" s="1414">
        <f t="shared" si="85"/>
        <v>8.3689999999999998</v>
      </c>
      <c r="F400" s="1452">
        <f t="shared" si="77"/>
        <v>5.319992955</v>
      </c>
      <c r="G400" s="1452">
        <f t="shared" si="78"/>
        <v>5.319992955</v>
      </c>
      <c r="H400" s="1452">
        <f t="shared" si="79"/>
        <v>0</v>
      </c>
      <c r="I400" s="1452">
        <v>0</v>
      </c>
      <c r="J400" s="1452">
        <v>0</v>
      </c>
      <c r="K400" s="1414"/>
      <c r="L400" s="1414"/>
      <c r="M400" s="1414">
        <f t="shared" si="84"/>
        <v>0</v>
      </c>
      <c r="N400" s="1414">
        <f t="shared" si="81"/>
        <v>0</v>
      </c>
      <c r="O400" s="1453">
        <f t="shared" si="82"/>
        <v>0</v>
      </c>
      <c r="P400" s="1328">
        <f t="shared" si="83"/>
        <v>0</v>
      </c>
    </row>
    <row r="401" spans="1:16" ht="31" hidden="1" customHeight="1" outlineLevel="1" thickBot="1" x14ac:dyDescent="0.3">
      <c r="A401" s="1411">
        <f t="shared" si="85"/>
        <v>2.6</v>
      </c>
      <c r="B401" s="1412" t="str">
        <f t="shared" si="85"/>
        <v>Replacement of ECO coils (unit 3)</v>
      </c>
      <c r="C401" s="1411" t="str">
        <f t="shared" si="85"/>
        <v>MERC/TECH 1/CAPEX/20122013/02325</v>
      </c>
      <c r="D401" s="1454">
        <f t="shared" si="85"/>
        <v>41285</v>
      </c>
      <c r="E401" s="1414">
        <f t="shared" si="85"/>
        <v>6.032</v>
      </c>
      <c r="F401" s="1452">
        <f t="shared" si="77"/>
        <v>3.47281854</v>
      </c>
      <c r="G401" s="1452">
        <f t="shared" si="78"/>
        <v>3.47281854</v>
      </c>
      <c r="H401" s="1452">
        <f t="shared" si="79"/>
        <v>0</v>
      </c>
      <c r="I401" s="1452">
        <v>0</v>
      </c>
      <c r="J401" s="1452">
        <v>0</v>
      </c>
      <c r="K401" s="1414"/>
      <c r="L401" s="1414"/>
      <c r="M401" s="1414">
        <f t="shared" si="84"/>
        <v>0</v>
      </c>
      <c r="N401" s="1414">
        <f t="shared" si="81"/>
        <v>0</v>
      </c>
      <c r="O401" s="1453">
        <f t="shared" si="82"/>
        <v>0</v>
      </c>
      <c r="P401" s="1328">
        <f t="shared" si="83"/>
        <v>0</v>
      </c>
    </row>
    <row r="402" spans="1:16" ht="31" hidden="1" customHeight="1" outlineLevel="1" thickBot="1" x14ac:dyDescent="0.3">
      <c r="A402" s="1411">
        <f t="shared" si="85"/>
        <v>2.7</v>
      </c>
      <c r="B402" s="1412" t="str">
        <f t="shared" si="85"/>
        <v>Replacement of old LT AHP pump impeller by energy efficient stainless steel impeller</v>
      </c>
      <c r="C402" s="1411" t="str">
        <f t="shared" si="85"/>
        <v>MERC/TECH 1/CAPEX/20122013/02325</v>
      </c>
      <c r="D402" s="1454">
        <f t="shared" si="85"/>
        <v>41285</v>
      </c>
      <c r="E402" s="1414">
        <f t="shared" si="85"/>
        <v>0.1488051</v>
      </c>
      <c r="F402" s="1452">
        <f t="shared" si="77"/>
        <v>0.1488051</v>
      </c>
      <c r="G402" s="1452">
        <f t="shared" si="78"/>
        <v>0.1488051</v>
      </c>
      <c r="H402" s="1452">
        <f t="shared" si="79"/>
        <v>0</v>
      </c>
      <c r="I402" s="1452">
        <v>0</v>
      </c>
      <c r="J402" s="1452">
        <v>0</v>
      </c>
      <c r="K402" s="1414"/>
      <c r="L402" s="1414"/>
      <c r="M402" s="1414">
        <f t="shared" si="84"/>
        <v>0</v>
      </c>
      <c r="N402" s="1414">
        <f t="shared" si="81"/>
        <v>0</v>
      </c>
      <c r="O402" s="1453">
        <f t="shared" si="82"/>
        <v>0</v>
      </c>
      <c r="P402" s="1328">
        <f t="shared" si="83"/>
        <v>0</v>
      </c>
    </row>
    <row r="403" spans="1:16" ht="31" hidden="1" customHeight="1" outlineLevel="1" thickBot="1" x14ac:dyDescent="0.3">
      <c r="A403" s="1416"/>
      <c r="B403" s="1412" t="str">
        <f t="shared" si="85"/>
        <v>IDC</v>
      </c>
      <c r="C403" s="1411" t="str">
        <f t="shared" si="85"/>
        <v>MERC/TECH 1/CAPEX/20122013/02325</v>
      </c>
      <c r="D403" s="1454">
        <f t="shared" si="85"/>
        <v>41285</v>
      </c>
      <c r="E403" s="1455">
        <f t="shared" si="85"/>
        <v>0.93</v>
      </c>
      <c r="F403" s="1452">
        <f t="shared" si="77"/>
        <v>0</v>
      </c>
      <c r="G403" s="1452">
        <f t="shared" si="78"/>
        <v>0</v>
      </c>
      <c r="H403" s="1452">
        <f t="shared" si="79"/>
        <v>0</v>
      </c>
      <c r="I403" s="1452">
        <v>0</v>
      </c>
      <c r="J403" s="1452">
        <v>0</v>
      </c>
      <c r="K403" s="1455"/>
      <c r="L403" s="1455"/>
      <c r="M403" s="1455">
        <f t="shared" si="84"/>
        <v>0</v>
      </c>
      <c r="N403" s="1455">
        <f t="shared" si="81"/>
        <v>0</v>
      </c>
      <c r="O403" s="1453">
        <f t="shared" si="82"/>
        <v>0</v>
      </c>
      <c r="P403" s="1328">
        <f t="shared" si="83"/>
        <v>0</v>
      </c>
    </row>
    <row r="404" spans="1:16" ht="31" hidden="1" customHeight="1" outlineLevel="1" thickBot="1" x14ac:dyDescent="0.3">
      <c r="A404" s="1406">
        <f t="shared" ref="A404:E419" si="86">A309</f>
        <v>3</v>
      </c>
      <c r="B404" s="1407" t="str">
        <f t="shared" si="86"/>
        <v>Measuring and Monitoring of Coal consumption</v>
      </c>
      <c r="C404" s="1406" t="str">
        <f t="shared" si="86"/>
        <v>MERC/CAPEX/20122013/00912</v>
      </c>
      <c r="D404" s="1451">
        <f t="shared" si="86"/>
        <v>41114</v>
      </c>
      <c r="E404" s="1452">
        <f t="shared" si="86"/>
        <v>45.918030000000002</v>
      </c>
      <c r="F404" s="1452">
        <f t="shared" si="77"/>
        <v>0</v>
      </c>
      <c r="G404" s="1452">
        <f t="shared" si="78"/>
        <v>0</v>
      </c>
      <c r="H404" s="1452">
        <f t="shared" si="79"/>
        <v>0</v>
      </c>
      <c r="I404" s="1452">
        <v>0</v>
      </c>
      <c r="J404" s="1452">
        <v>0</v>
      </c>
      <c r="K404" s="1452"/>
      <c r="L404" s="1452"/>
      <c r="M404" s="1452">
        <f t="shared" si="84"/>
        <v>0</v>
      </c>
      <c r="N404" s="1452">
        <f t="shared" si="81"/>
        <v>0</v>
      </c>
      <c r="O404" s="1453">
        <f t="shared" si="82"/>
        <v>0</v>
      </c>
      <c r="P404" s="1328">
        <f t="shared" si="83"/>
        <v>0</v>
      </c>
    </row>
    <row r="405" spans="1:16" ht="15.5" hidden="1" customHeight="1" outlineLevel="1" thickBot="1" x14ac:dyDescent="0.3">
      <c r="A405" s="1416">
        <f t="shared" si="86"/>
        <v>3.1</v>
      </c>
      <c r="B405" s="1412" t="str">
        <f t="shared" si="86"/>
        <v>Belt Weighers</v>
      </c>
      <c r="C405" s="1416" t="str">
        <f t="shared" si="86"/>
        <v>MERC/CAPEX/20122013/00912</v>
      </c>
      <c r="D405" s="1456">
        <f t="shared" si="86"/>
        <v>41114</v>
      </c>
      <c r="E405" s="1414">
        <f t="shared" si="86"/>
        <v>0.8044</v>
      </c>
      <c r="F405" s="1452">
        <f t="shared" si="77"/>
        <v>0</v>
      </c>
      <c r="G405" s="1452">
        <f t="shared" si="78"/>
        <v>0</v>
      </c>
      <c r="H405" s="1452">
        <f t="shared" si="79"/>
        <v>0</v>
      </c>
      <c r="I405" s="1452">
        <v>0</v>
      </c>
      <c r="J405" s="1452">
        <v>0</v>
      </c>
      <c r="K405" s="1414"/>
      <c r="L405" s="1414"/>
      <c r="M405" s="1414">
        <f t="shared" si="84"/>
        <v>0</v>
      </c>
      <c r="N405" s="1414">
        <f t="shared" si="81"/>
        <v>0</v>
      </c>
      <c r="O405" s="1453">
        <f t="shared" si="82"/>
        <v>0</v>
      </c>
      <c r="P405" s="1328">
        <f t="shared" si="83"/>
        <v>0</v>
      </c>
    </row>
    <row r="406" spans="1:16" ht="15.5" hidden="1" customHeight="1" outlineLevel="1" thickBot="1" x14ac:dyDescent="0.3">
      <c r="A406" s="1416">
        <f t="shared" si="86"/>
        <v>3.2</v>
      </c>
      <c r="B406" s="1412" t="str">
        <f t="shared" si="86"/>
        <v xml:space="preserve">Fully automatic pit-less in motion weigh bridges </v>
      </c>
      <c r="C406" s="1416" t="str">
        <f t="shared" si="86"/>
        <v>MERC/CAPEX/20122013/00912</v>
      </c>
      <c r="D406" s="1456">
        <f t="shared" si="86"/>
        <v>41114</v>
      </c>
      <c r="E406" s="1414">
        <f t="shared" si="86"/>
        <v>0.41149999999999998</v>
      </c>
      <c r="F406" s="1452">
        <f t="shared" si="77"/>
        <v>0</v>
      </c>
      <c r="G406" s="1452">
        <f t="shared" si="78"/>
        <v>0</v>
      </c>
      <c r="H406" s="1452">
        <f t="shared" si="79"/>
        <v>0</v>
      </c>
      <c r="I406" s="1452">
        <v>0</v>
      </c>
      <c r="J406" s="1452">
        <v>0</v>
      </c>
      <c r="K406" s="1414"/>
      <c r="L406" s="1414"/>
      <c r="M406" s="1414">
        <f t="shared" si="84"/>
        <v>0</v>
      </c>
      <c r="N406" s="1414">
        <f t="shared" si="81"/>
        <v>0</v>
      </c>
      <c r="O406" s="1453">
        <f t="shared" si="82"/>
        <v>0</v>
      </c>
      <c r="P406" s="1328">
        <f t="shared" si="83"/>
        <v>0</v>
      </c>
    </row>
    <row r="407" spans="1:16" ht="15.5" hidden="1" customHeight="1" outlineLevel="1" thickBot="1" x14ac:dyDescent="0.3">
      <c r="A407" s="1416">
        <f t="shared" si="86"/>
        <v>3.3</v>
      </c>
      <c r="B407" s="1412" t="str">
        <f t="shared" si="86"/>
        <v>Installation side arm charger for Wagon tippler 1A &amp; 1B</v>
      </c>
      <c r="C407" s="1416" t="str">
        <f t="shared" si="86"/>
        <v>MERC/CAPEX/20122013/00912</v>
      </c>
      <c r="D407" s="1456">
        <f t="shared" si="86"/>
        <v>41114</v>
      </c>
      <c r="E407" s="1414">
        <f t="shared" si="86"/>
        <v>21.96</v>
      </c>
      <c r="F407" s="1452">
        <f t="shared" si="77"/>
        <v>0</v>
      </c>
      <c r="G407" s="1452">
        <f t="shared" si="78"/>
        <v>0</v>
      </c>
      <c r="H407" s="1452">
        <f t="shared" si="79"/>
        <v>0</v>
      </c>
      <c r="I407" s="1452">
        <v>0</v>
      </c>
      <c r="J407" s="1452">
        <v>0</v>
      </c>
      <c r="K407" s="1414"/>
      <c r="L407" s="1414"/>
      <c r="M407" s="1414">
        <f t="shared" si="84"/>
        <v>0</v>
      </c>
      <c r="N407" s="1414">
        <f t="shared" si="81"/>
        <v>0</v>
      </c>
      <c r="O407" s="1453">
        <f t="shared" si="82"/>
        <v>0</v>
      </c>
      <c r="P407" s="1328">
        <f t="shared" si="83"/>
        <v>0</v>
      </c>
    </row>
    <row r="408" spans="1:16" ht="31" hidden="1" customHeight="1" outlineLevel="1" thickBot="1" x14ac:dyDescent="0.3">
      <c r="A408" s="1416">
        <f t="shared" si="86"/>
        <v>3.4</v>
      </c>
      <c r="B408" s="1412" t="str">
        <f t="shared" si="86"/>
        <v>Dust Extraction System at Secondary Crusher house &amp; Conveyor 6A/B at stage II CHP</v>
      </c>
      <c r="C408" s="1416" t="str">
        <f t="shared" si="86"/>
        <v>MERC/CAPEX/20122013/00912</v>
      </c>
      <c r="D408" s="1456">
        <f t="shared" si="86"/>
        <v>41114</v>
      </c>
      <c r="E408" s="1414">
        <f t="shared" si="86"/>
        <v>2.0714999999999999</v>
      </c>
      <c r="F408" s="1452">
        <f t="shared" si="77"/>
        <v>0</v>
      </c>
      <c r="G408" s="1452">
        <f t="shared" si="78"/>
        <v>0</v>
      </c>
      <c r="H408" s="1452">
        <f t="shared" si="79"/>
        <v>0</v>
      </c>
      <c r="I408" s="1452">
        <v>0</v>
      </c>
      <c r="J408" s="1452">
        <v>0</v>
      </c>
      <c r="K408" s="1414"/>
      <c r="L408" s="1414"/>
      <c r="M408" s="1414">
        <f t="shared" si="84"/>
        <v>0</v>
      </c>
      <c r="N408" s="1414">
        <f t="shared" si="81"/>
        <v>0</v>
      </c>
      <c r="O408" s="1453">
        <f t="shared" si="82"/>
        <v>0</v>
      </c>
      <c r="P408" s="1328">
        <f t="shared" si="83"/>
        <v>0</v>
      </c>
    </row>
    <row r="409" spans="1:16" ht="93" hidden="1" customHeight="1" outlineLevel="1" thickBot="1" x14ac:dyDescent="0.3">
      <c r="A409" s="1416">
        <f t="shared" si="86"/>
        <v>3.5</v>
      </c>
      <c r="B409" s="1412" t="str">
        <f t="shared" si="86"/>
        <v>Fogging system at 
a) WT old along with PCR, SCR and bunker level belt at Stage I CHP
b) Conveyor 7A/B
c) 100 Mtrx100 Mtr Coal stock area
d) 200 Mtrx200 Mtr Coal stock area</v>
      </c>
      <c r="C409" s="1416" t="str">
        <f t="shared" si="86"/>
        <v>MERC/CAPEX/20122013/00912</v>
      </c>
      <c r="D409" s="1456">
        <f t="shared" si="86"/>
        <v>41114</v>
      </c>
      <c r="E409" s="1414">
        <f t="shared" si="86"/>
        <v>2.2831000000000001</v>
      </c>
      <c r="F409" s="1452">
        <f t="shared" si="77"/>
        <v>0.4695358</v>
      </c>
      <c r="G409" s="1452">
        <f t="shared" si="78"/>
        <v>0.4695358</v>
      </c>
      <c r="H409" s="1452">
        <f t="shared" si="79"/>
        <v>0</v>
      </c>
      <c r="I409" s="1452">
        <v>0</v>
      </c>
      <c r="J409" s="1452">
        <v>0</v>
      </c>
      <c r="K409" s="1414"/>
      <c r="L409" s="1414"/>
      <c r="M409" s="1414">
        <f t="shared" si="84"/>
        <v>0</v>
      </c>
      <c r="N409" s="1414">
        <f t="shared" si="81"/>
        <v>0</v>
      </c>
      <c r="O409" s="1453">
        <f t="shared" si="82"/>
        <v>0</v>
      </c>
      <c r="P409" s="1328">
        <f t="shared" si="83"/>
        <v>0</v>
      </c>
    </row>
    <row r="410" spans="1:16" ht="15.5" hidden="1" customHeight="1" outlineLevel="1" thickBot="1" x14ac:dyDescent="0.3">
      <c r="A410" s="1416">
        <f t="shared" si="86"/>
        <v>3.6</v>
      </c>
      <c r="B410" s="1412" t="str">
        <f t="shared" si="86"/>
        <v xml:space="preserve">Bunker level montoring system for 12 bunkers </v>
      </c>
      <c r="C410" s="1416" t="str">
        <f t="shared" si="86"/>
        <v>MERC/CAPEX/20122013/00912</v>
      </c>
      <c r="D410" s="1456">
        <f t="shared" si="86"/>
        <v>41114</v>
      </c>
      <c r="E410" s="1414">
        <f t="shared" si="86"/>
        <v>2.5038</v>
      </c>
      <c r="F410" s="1452">
        <f t="shared" si="77"/>
        <v>0</v>
      </c>
      <c r="G410" s="1452">
        <f t="shared" si="78"/>
        <v>0</v>
      </c>
      <c r="H410" s="1452">
        <f t="shared" si="79"/>
        <v>0</v>
      </c>
      <c r="I410" s="1452">
        <v>0</v>
      </c>
      <c r="J410" s="1452">
        <v>0</v>
      </c>
      <c r="K410" s="1414"/>
      <c r="L410" s="1414"/>
      <c r="M410" s="1414">
        <f t="shared" si="84"/>
        <v>0</v>
      </c>
      <c r="N410" s="1414">
        <f t="shared" si="81"/>
        <v>0</v>
      </c>
      <c r="O410" s="1453">
        <f t="shared" si="82"/>
        <v>0</v>
      </c>
      <c r="P410" s="1328">
        <f t="shared" si="83"/>
        <v>0</v>
      </c>
    </row>
    <row r="411" spans="1:16" ht="15.5" hidden="1" customHeight="1" outlineLevel="1" thickBot="1" x14ac:dyDescent="0.3">
      <c r="A411" s="1416">
        <f t="shared" si="86"/>
        <v>3.7</v>
      </c>
      <c r="B411" s="1412" t="str">
        <f t="shared" si="86"/>
        <v xml:space="preserve">Rotary pneumatic or electrical hammers </v>
      </c>
      <c r="C411" s="1416" t="str">
        <f t="shared" si="86"/>
        <v>MERC/CAPEX/20122013/00912</v>
      </c>
      <c r="D411" s="1456">
        <f t="shared" si="86"/>
        <v>41114</v>
      </c>
      <c r="E411" s="1414">
        <f t="shared" si="86"/>
        <v>9.7000000000000003E-2</v>
      </c>
      <c r="F411" s="1452">
        <f t="shared" si="77"/>
        <v>0</v>
      </c>
      <c r="G411" s="1452">
        <f t="shared" si="78"/>
        <v>0</v>
      </c>
      <c r="H411" s="1452">
        <f t="shared" si="79"/>
        <v>0</v>
      </c>
      <c r="I411" s="1452">
        <v>0</v>
      </c>
      <c r="J411" s="1452">
        <v>0</v>
      </c>
      <c r="K411" s="1414"/>
      <c r="L411" s="1414"/>
      <c r="M411" s="1414">
        <f t="shared" si="84"/>
        <v>0</v>
      </c>
      <c r="N411" s="1414">
        <f t="shared" si="81"/>
        <v>0</v>
      </c>
      <c r="O411" s="1453">
        <f t="shared" si="82"/>
        <v>0</v>
      </c>
      <c r="P411" s="1328">
        <f t="shared" si="83"/>
        <v>0</v>
      </c>
    </row>
    <row r="412" spans="1:16" ht="31" hidden="1" customHeight="1" outlineLevel="1" thickBot="1" x14ac:dyDescent="0.3">
      <c r="A412" s="1416">
        <f t="shared" si="86"/>
        <v>3.8</v>
      </c>
      <c r="B412" s="1412" t="str">
        <f t="shared" si="86"/>
        <v xml:space="preserve">Enhancement of unloading capacity of CHP from 360 TPH to 500 TPH </v>
      </c>
      <c r="C412" s="1416" t="str">
        <f t="shared" si="86"/>
        <v>MERC/CAPEX/20122013/00912</v>
      </c>
      <c r="D412" s="1456">
        <f t="shared" si="86"/>
        <v>41114</v>
      </c>
      <c r="E412" s="1414">
        <f t="shared" si="86"/>
        <v>7.6508000000000003</v>
      </c>
      <c r="F412" s="1452">
        <f t="shared" si="77"/>
        <v>0</v>
      </c>
      <c r="G412" s="1452">
        <f t="shared" si="78"/>
        <v>0</v>
      </c>
      <c r="H412" s="1452">
        <f t="shared" si="79"/>
        <v>0</v>
      </c>
      <c r="I412" s="1452">
        <v>0</v>
      </c>
      <c r="J412" s="1452">
        <v>0</v>
      </c>
      <c r="K412" s="1414"/>
      <c r="L412" s="1414"/>
      <c r="M412" s="1414">
        <f t="shared" si="84"/>
        <v>0</v>
      </c>
      <c r="N412" s="1414">
        <f t="shared" si="81"/>
        <v>0</v>
      </c>
      <c r="O412" s="1453">
        <f t="shared" si="82"/>
        <v>0</v>
      </c>
      <c r="P412" s="1328">
        <f t="shared" si="83"/>
        <v>0</v>
      </c>
    </row>
    <row r="413" spans="1:16" ht="77.5" hidden="1" customHeight="1" outlineLevel="1" thickBot="1" x14ac:dyDescent="0.3">
      <c r="A413" s="1416">
        <f t="shared" si="86"/>
        <v>3.9</v>
      </c>
      <c r="B413" s="1412" t="str">
        <f t="shared" si="86"/>
        <v>Quick detection of poor coal quality through CCTV on overhead watch
tower focused onto the wagons, over which the rake passes at low
speed &amp; various conveyor tunnels</v>
      </c>
      <c r="C413" s="1416" t="str">
        <f t="shared" si="86"/>
        <v>MERC/CAPEX/20122013/00912</v>
      </c>
      <c r="D413" s="1456">
        <f t="shared" si="86"/>
        <v>41114</v>
      </c>
      <c r="E413" s="1414">
        <f t="shared" si="86"/>
        <v>0.29680000000000001</v>
      </c>
      <c r="F413" s="1452">
        <f t="shared" si="77"/>
        <v>0</v>
      </c>
      <c r="G413" s="1452">
        <f t="shared" si="78"/>
        <v>0</v>
      </c>
      <c r="H413" s="1452">
        <f t="shared" si="79"/>
        <v>0</v>
      </c>
      <c r="I413" s="1452">
        <v>0</v>
      </c>
      <c r="J413" s="1452">
        <v>0</v>
      </c>
      <c r="K413" s="1414"/>
      <c r="L413" s="1414"/>
      <c r="M413" s="1414">
        <f t="shared" si="84"/>
        <v>0</v>
      </c>
      <c r="N413" s="1414">
        <f t="shared" si="81"/>
        <v>0</v>
      </c>
      <c r="O413" s="1453">
        <f t="shared" si="82"/>
        <v>0</v>
      </c>
      <c r="P413" s="1328">
        <f t="shared" si="83"/>
        <v>0</v>
      </c>
    </row>
    <row r="414" spans="1:16" ht="15.5" hidden="1" customHeight="1" outlineLevel="1" thickBot="1" x14ac:dyDescent="0.3">
      <c r="A414" s="1418">
        <f t="shared" si="86"/>
        <v>3.1</v>
      </c>
      <c r="B414" s="1412" t="str">
        <f t="shared" si="86"/>
        <v xml:space="preserve">Motor controller for conveyor motors of Stage II CHP </v>
      </c>
      <c r="C414" s="1416" t="str">
        <f t="shared" si="86"/>
        <v>MERC/CAPEX/20122013/00912</v>
      </c>
      <c r="D414" s="1456">
        <f t="shared" si="86"/>
        <v>41114</v>
      </c>
      <c r="E414" s="1414">
        <f t="shared" si="86"/>
        <v>0.9607</v>
      </c>
      <c r="F414" s="1452">
        <f t="shared" si="77"/>
        <v>0.9607</v>
      </c>
      <c r="G414" s="1452">
        <f t="shared" si="78"/>
        <v>0.9607</v>
      </c>
      <c r="H414" s="1452">
        <f t="shared" si="79"/>
        <v>0</v>
      </c>
      <c r="I414" s="1452">
        <v>0</v>
      </c>
      <c r="J414" s="1452">
        <v>0</v>
      </c>
      <c r="K414" s="1414"/>
      <c r="L414" s="1414"/>
      <c r="M414" s="1414">
        <f t="shared" si="84"/>
        <v>0</v>
      </c>
      <c r="N414" s="1414">
        <f t="shared" si="81"/>
        <v>0</v>
      </c>
      <c r="O414" s="1453">
        <f t="shared" si="82"/>
        <v>0</v>
      </c>
      <c r="P414" s="1328">
        <f t="shared" si="83"/>
        <v>0</v>
      </c>
    </row>
    <row r="415" spans="1:16" ht="31" hidden="1" customHeight="1" outlineLevel="1" thickBot="1" x14ac:dyDescent="0.3">
      <c r="A415" s="1416">
        <f t="shared" si="86"/>
        <v>3.11</v>
      </c>
      <c r="B415" s="1412" t="str">
        <f t="shared" si="86"/>
        <v>Procurement of a CHN apparatus for ultimate analysis for operational optimization and coal mapping studies.</v>
      </c>
      <c r="C415" s="1416" t="str">
        <f t="shared" si="86"/>
        <v>MERC/CAPEX/20122013/00912</v>
      </c>
      <c r="D415" s="1456">
        <f t="shared" si="86"/>
        <v>41114</v>
      </c>
      <c r="E415" s="1414">
        <f t="shared" si="86"/>
        <v>0.63617000000000001</v>
      </c>
      <c r="F415" s="1452">
        <f t="shared" si="77"/>
        <v>0</v>
      </c>
      <c r="G415" s="1452">
        <f t="shared" si="78"/>
        <v>0</v>
      </c>
      <c r="H415" s="1452">
        <f t="shared" si="79"/>
        <v>0</v>
      </c>
      <c r="I415" s="1452">
        <v>0</v>
      </c>
      <c r="J415" s="1452">
        <v>0</v>
      </c>
      <c r="K415" s="1414"/>
      <c r="L415" s="1414"/>
      <c r="M415" s="1414">
        <f t="shared" si="84"/>
        <v>0</v>
      </c>
      <c r="N415" s="1414">
        <f t="shared" si="81"/>
        <v>0</v>
      </c>
      <c r="O415" s="1453">
        <f t="shared" si="82"/>
        <v>0</v>
      </c>
      <c r="P415" s="1328">
        <f t="shared" si="83"/>
        <v>0</v>
      </c>
    </row>
    <row r="416" spans="1:16" ht="15.5" hidden="1" customHeight="1" outlineLevel="1" thickBot="1" x14ac:dyDescent="0.3">
      <c r="A416" s="1416">
        <f t="shared" si="86"/>
        <v>3.12</v>
      </c>
      <c r="B416" s="1412" t="str">
        <f t="shared" si="86"/>
        <v xml:space="preserve">Additional bomb calorimeter </v>
      </c>
      <c r="C416" s="1416" t="str">
        <f t="shared" si="86"/>
        <v>MERC/CAPEX/20122013/00912</v>
      </c>
      <c r="D416" s="1456">
        <f t="shared" si="86"/>
        <v>41114</v>
      </c>
      <c r="E416" s="1414">
        <f t="shared" si="86"/>
        <v>0.44012000000000001</v>
      </c>
      <c r="F416" s="1452">
        <f t="shared" si="77"/>
        <v>0.19</v>
      </c>
      <c r="G416" s="1452">
        <f t="shared" si="78"/>
        <v>0.19</v>
      </c>
      <c r="H416" s="1452">
        <f t="shared" si="79"/>
        <v>0</v>
      </c>
      <c r="I416" s="1452">
        <v>0</v>
      </c>
      <c r="J416" s="1452">
        <v>0</v>
      </c>
      <c r="K416" s="1414"/>
      <c r="L416" s="1414"/>
      <c r="M416" s="1414">
        <f t="shared" si="84"/>
        <v>0</v>
      </c>
      <c r="N416" s="1414">
        <f t="shared" si="81"/>
        <v>0</v>
      </c>
      <c r="O416" s="1453">
        <f t="shared" si="82"/>
        <v>0</v>
      </c>
      <c r="P416" s="1328">
        <f t="shared" si="83"/>
        <v>0</v>
      </c>
    </row>
    <row r="417" spans="1:16" ht="15.5" hidden="1" customHeight="1" outlineLevel="1" thickBot="1" x14ac:dyDescent="0.3">
      <c r="A417" s="1416">
        <f t="shared" si="86"/>
        <v>3.13</v>
      </c>
      <c r="B417" s="1412" t="str">
        <f t="shared" si="86"/>
        <v xml:space="preserve">TGA analysis of the coal for operational optimization. </v>
      </c>
      <c r="C417" s="1416" t="str">
        <f t="shared" si="86"/>
        <v>MERC/CAPEX/20122013/00912</v>
      </c>
      <c r="D417" s="1456">
        <f t="shared" si="86"/>
        <v>41114</v>
      </c>
      <c r="E417" s="1414">
        <f t="shared" si="86"/>
        <v>0.53213999999999995</v>
      </c>
      <c r="F417" s="1452">
        <f t="shared" si="77"/>
        <v>0</v>
      </c>
      <c r="G417" s="1452">
        <f t="shared" si="78"/>
        <v>0</v>
      </c>
      <c r="H417" s="1452">
        <f t="shared" si="79"/>
        <v>0</v>
      </c>
      <c r="I417" s="1452">
        <v>0</v>
      </c>
      <c r="J417" s="1452">
        <v>0</v>
      </c>
      <c r="K417" s="1414"/>
      <c r="L417" s="1414"/>
      <c r="M417" s="1414">
        <f t="shared" si="84"/>
        <v>0</v>
      </c>
      <c r="N417" s="1414">
        <f t="shared" si="81"/>
        <v>0</v>
      </c>
      <c r="O417" s="1453">
        <f t="shared" si="82"/>
        <v>0</v>
      </c>
      <c r="P417" s="1328">
        <f t="shared" si="83"/>
        <v>0</v>
      </c>
    </row>
    <row r="418" spans="1:16" ht="15.5" hidden="1" customHeight="1" outlineLevel="1" thickBot="1" x14ac:dyDescent="0.3">
      <c r="A418" s="1406"/>
      <c r="B418" s="1412" t="str">
        <f t="shared" si="86"/>
        <v>IDC</v>
      </c>
      <c r="C418" s="1416" t="str">
        <f t="shared" si="86"/>
        <v>MERC/CAPEX/20122013/00912</v>
      </c>
      <c r="D418" s="1456">
        <f t="shared" si="86"/>
        <v>41114</v>
      </c>
      <c r="E418" s="1414">
        <f t="shared" si="86"/>
        <v>5.27</v>
      </c>
      <c r="F418" s="1452">
        <f t="shared" si="77"/>
        <v>0</v>
      </c>
      <c r="G418" s="1452">
        <f t="shared" si="78"/>
        <v>0</v>
      </c>
      <c r="H418" s="1452">
        <f t="shared" si="79"/>
        <v>0</v>
      </c>
      <c r="I418" s="1452">
        <v>0</v>
      </c>
      <c r="J418" s="1452">
        <v>0</v>
      </c>
      <c r="K418" s="1414"/>
      <c r="L418" s="1414"/>
      <c r="M418" s="1414">
        <f t="shared" si="84"/>
        <v>0</v>
      </c>
      <c r="N418" s="1414">
        <f t="shared" si="81"/>
        <v>0</v>
      </c>
      <c r="O418" s="1453">
        <f t="shared" si="82"/>
        <v>0</v>
      </c>
      <c r="P418" s="1328">
        <f t="shared" si="83"/>
        <v>0</v>
      </c>
    </row>
    <row r="419" spans="1:16" ht="31" hidden="1" customHeight="1" outlineLevel="1" thickBot="1" x14ac:dyDescent="0.3">
      <c r="A419" s="1406">
        <f>A324</f>
        <v>4</v>
      </c>
      <c r="B419" s="1407" t="str">
        <f t="shared" si="86"/>
        <v>Turbine Auxiliary Performance Improvements</v>
      </c>
      <c r="C419" s="1406" t="str">
        <f t="shared" si="86"/>
        <v>MERC/CAPEX/20122013/02107</v>
      </c>
      <c r="D419" s="1451">
        <f t="shared" si="86"/>
        <v>41281</v>
      </c>
      <c r="E419" s="1452">
        <f t="shared" si="86"/>
        <v>20.108999999999998</v>
      </c>
      <c r="F419" s="1452">
        <f t="shared" si="77"/>
        <v>0</v>
      </c>
      <c r="G419" s="1452">
        <f t="shared" si="78"/>
        <v>0</v>
      </c>
      <c r="H419" s="1452">
        <f t="shared" si="79"/>
        <v>0</v>
      </c>
      <c r="I419" s="1452">
        <v>0</v>
      </c>
      <c r="J419" s="1452">
        <v>0</v>
      </c>
      <c r="K419" s="1452"/>
      <c r="L419" s="1452"/>
      <c r="M419" s="1452">
        <f t="shared" si="84"/>
        <v>0</v>
      </c>
      <c r="N419" s="1452">
        <f t="shared" si="81"/>
        <v>0</v>
      </c>
      <c r="O419" s="1453">
        <f t="shared" si="82"/>
        <v>0</v>
      </c>
      <c r="P419" s="1328">
        <f t="shared" si="83"/>
        <v>0</v>
      </c>
    </row>
    <row r="420" spans="1:16" ht="46.5" hidden="1" customHeight="1" outlineLevel="1" thickBot="1" x14ac:dyDescent="0.3">
      <c r="A420" s="1416">
        <f>A325</f>
        <v>4.0999999999999996</v>
      </c>
      <c r="B420" s="1412" t="str">
        <f t="shared" ref="B420:E432" si="87">B325</f>
        <v>Procurement and installation and commissioning of modified upgraded boiler feed pump (Type -200KHI/S) having energy efficient cartridge for unit 2 &amp; 3 , BTPS.</v>
      </c>
      <c r="C420" s="1416" t="str">
        <f t="shared" si="87"/>
        <v>MERC/CAPEX/20122013/02107</v>
      </c>
      <c r="D420" s="1456">
        <f t="shared" si="87"/>
        <v>41281</v>
      </c>
      <c r="E420" s="1414">
        <f t="shared" si="87"/>
        <v>17.47</v>
      </c>
      <c r="F420" s="1452">
        <f t="shared" si="77"/>
        <v>8.655683800000002</v>
      </c>
      <c r="G420" s="1452">
        <f t="shared" si="78"/>
        <v>8.655683800000002</v>
      </c>
      <c r="H420" s="1452">
        <f t="shared" si="79"/>
        <v>0</v>
      </c>
      <c r="I420" s="1452">
        <v>0</v>
      </c>
      <c r="J420" s="1452">
        <v>0</v>
      </c>
      <c r="K420" s="1414"/>
      <c r="L420" s="1414"/>
      <c r="M420" s="1414">
        <f t="shared" si="84"/>
        <v>0</v>
      </c>
      <c r="N420" s="1414">
        <f t="shared" si="81"/>
        <v>0</v>
      </c>
      <c r="O420" s="1453">
        <f t="shared" si="82"/>
        <v>0</v>
      </c>
      <c r="P420" s="1328">
        <f t="shared" si="83"/>
        <v>0</v>
      </c>
    </row>
    <row r="421" spans="1:16" ht="31" hidden="1" customHeight="1" outlineLevel="1" thickBot="1" x14ac:dyDescent="0.3">
      <c r="A421" s="1416">
        <f>A326</f>
        <v>4.2</v>
      </c>
      <c r="B421" s="1412" t="str">
        <f t="shared" si="87"/>
        <v>Replacement of brine pumps with modified pumps complete with S.S material in new WTP</v>
      </c>
      <c r="C421" s="1416" t="str">
        <f t="shared" si="87"/>
        <v>MERC/CAPEX/20122013/02107</v>
      </c>
      <c r="D421" s="1456">
        <f t="shared" si="87"/>
        <v>41281</v>
      </c>
      <c r="E421" s="1414">
        <f t="shared" si="87"/>
        <v>1.0289999999999999</v>
      </c>
      <c r="F421" s="1452">
        <f t="shared" si="77"/>
        <v>0.30159950000000002</v>
      </c>
      <c r="G421" s="1452">
        <f t="shared" si="78"/>
        <v>0.30159950000000002</v>
      </c>
      <c r="H421" s="1452">
        <f t="shared" si="79"/>
        <v>0</v>
      </c>
      <c r="I421" s="1452">
        <v>0</v>
      </c>
      <c r="J421" s="1452">
        <v>0</v>
      </c>
      <c r="K421" s="1414"/>
      <c r="L421" s="1414"/>
      <c r="M421" s="1414">
        <f t="shared" si="84"/>
        <v>0</v>
      </c>
      <c r="N421" s="1414">
        <f t="shared" si="81"/>
        <v>0</v>
      </c>
      <c r="O421" s="1453">
        <f t="shared" si="82"/>
        <v>0</v>
      </c>
      <c r="P421" s="1328">
        <f t="shared" si="83"/>
        <v>0</v>
      </c>
    </row>
    <row r="422" spans="1:16" ht="15.5" hidden="1" customHeight="1" outlineLevel="1" thickBot="1" x14ac:dyDescent="0.3">
      <c r="A422" s="1406"/>
      <c r="B422" s="1412" t="str">
        <f t="shared" si="87"/>
        <v>IDC</v>
      </c>
      <c r="C422" s="1416" t="str">
        <f t="shared" si="87"/>
        <v>MERC/CAPEX/20122013/02107</v>
      </c>
      <c r="D422" s="1456">
        <f t="shared" si="87"/>
        <v>41281</v>
      </c>
      <c r="E422" s="1414">
        <f t="shared" si="87"/>
        <v>1.61</v>
      </c>
      <c r="F422" s="1452">
        <f t="shared" si="77"/>
        <v>0</v>
      </c>
      <c r="G422" s="1452">
        <f t="shared" si="78"/>
        <v>0</v>
      </c>
      <c r="H422" s="1452">
        <f t="shared" si="79"/>
        <v>0</v>
      </c>
      <c r="I422" s="1452">
        <v>0</v>
      </c>
      <c r="J422" s="1452">
        <v>0</v>
      </c>
      <c r="K422" s="1414"/>
      <c r="L422" s="1414"/>
      <c r="M422" s="1414">
        <f t="shared" si="84"/>
        <v>0</v>
      </c>
      <c r="N422" s="1414">
        <f t="shared" si="81"/>
        <v>0</v>
      </c>
      <c r="O422" s="1453">
        <f t="shared" si="82"/>
        <v>0</v>
      </c>
      <c r="P422" s="1328">
        <f t="shared" si="83"/>
        <v>0</v>
      </c>
    </row>
    <row r="423" spans="1:16" ht="31" hidden="1" customHeight="1" outlineLevel="1" thickBot="1" x14ac:dyDescent="0.3">
      <c r="A423" s="1406">
        <f>A328</f>
        <v>5</v>
      </c>
      <c r="B423" s="1407" t="str">
        <f t="shared" si="87"/>
        <v>Replacement of Platen water wall coils U#2,Super Heater &amp; Platen Super Heater Coils for U#2 and Cold Reheater coils for U#2 &amp; U#3</v>
      </c>
      <c r="C423" s="1406" t="str">
        <f t="shared" si="87"/>
        <v>MERC/TECH-1/CAPEX/20142015/006</v>
      </c>
      <c r="D423" s="1451">
        <f t="shared" si="87"/>
        <v>41928</v>
      </c>
      <c r="E423" s="1452">
        <f t="shared" si="87"/>
        <v>13.692</v>
      </c>
      <c r="F423" s="1452">
        <f t="shared" si="77"/>
        <v>0</v>
      </c>
      <c r="G423" s="1452">
        <f t="shared" si="78"/>
        <v>0</v>
      </c>
      <c r="H423" s="1452">
        <f t="shared" si="79"/>
        <v>0</v>
      </c>
      <c r="I423" s="1452">
        <v>0</v>
      </c>
      <c r="J423" s="1452">
        <v>0</v>
      </c>
      <c r="K423" s="1452"/>
      <c r="L423" s="1452"/>
      <c r="M423" s="1452">
        <f t="shared" si="84"/>
        <v>0</v>
      </c>
      <c r="N423" s="1452">
        <f t="shared" si="81"/>
        <v>0</v>
      </c>
      <c r="O423" s="1453">
        <f t="shared" si="82"/>
        <v>0</v>
      </c>
      <c r="P423" s="1328">
        <f t="shared" si="83"/>
        <v>0</v>
      </c>
    </row>
    <row r="424" spans="1:16" ht="31" hidden="1" customHeight="1" outlineLevel="1" thickBot="1" x14ac:dyDescent="0.3">
      <c r="A424" s="1416">
        <f>A329</f>
        <v>5.0999999999999996</v>
      </c>
      <c r="B424" s="1419" t="str">
        <f t="shared" si="87"/>
        <v>Supply &amp; Erection of Platen Water wall coils Assembly from inlet header to outlet header in pent house for Unit No 2</v>
      </c>
      <c r="C424" s="1416" t="str">
        <f t="shared" si="87"/>
        <v>MERC/TECH-1/CAPEX/20142015/006</v>
      </c>
      <c r="D424" s="1456">
        <f t="shared" si="87"/>
        <v>41928</v>
      </c>
      <c r="E424" s="1414">
        <f t="shared" si="87"/>
        <v>1.1040000000000001</v>
      </c>
      <c r="F424" s="1452">
        <f t="shared" si="77"/>
        <v>0.54</v>
      </c>
      <c r="G424" s="1452">
        <f t="shared" si="78"/>
        <v>0.54</v>
      </c>
      <c r="H424" s="1452">
        <f t="shared" si="79"/>
        <v>0</v>
      </c>
      <c r="I424" s="1452">
        <v>0</v>
      </c>
      <c r="J424" s="1452">
        <v>0</v>
      </c>
      <c r="K424" s="1414"/>
      <c r="L424" s="1414"/>
      <c r="M424" s="1414">
        <f t="shared" si="84"/>
        <v>0</v>
      </c>
      <c r="N424" s="1414">
        <f t="shared" si="81"/>
        <v>0</v>
      </c>
      <c r="O424" s="1453">
        <f t="shared" si="82"/>
        <v>0</v>
      </c>
      <c r="P424" s="1328">
        <f t="shared" si="83"/>
        <v>0</v>
      </c>
    </row>
    <row r="425" spans="1:16" ht="62" hidden="1" customHeight="1" outlineLevel="1" thickBot="1" x14ac:dyDescent="0.3">
      <c r="A425" s="1416">
        <f>A330</f>
        <v>5.2</v>
      </c>
      <c r="B425" s="1419" t="str">
        <f t="shared" si="87"/>
        <v>Complete Supply &amp; Erection of Super Heater Radiant Roof Panel Tube  with Attachment  for Unit No 2 Boiler From front side of Boiler to rear side of boiler &amp; Vertical Platen Super Heater coils Assembly for Unit No 2, 210 MW Boiler.</v>
      </c>
      <c r="C425" s="1416" t="str">
        <f t="shared" si="87"/>
        <v>MERC/TECH-1/CAPEX/20142015/006</v>
      </c>
      <c r="D425" s="1456">
        <f t="shared" si="87"/>
        <v>41928</v>
      </c>
      <c r="E425" s="1414">
        <f t="shared" si="87"/>
        <v>5.4770000000000003</v>
      </c>
      <c r="F425" s="1452">
        <f t="shared" si="77"/>
        <v>5.4649043000000006</v>
      </c>
      <c r="G425" s="1452">
        <f t="shared" si="78"/>
        <v>5.4649043000000006</v>
      </c>
      <c r="H425" s="1452">
        <f t="shared" si="79"/>
        <v>0</v>
      </c>
      <c r="I425" s="1452">
        <v>0</v>
      </c>
      <c r="J425" s="1452">
        <v>0</v>
      </c>
      <c r="K425" s="1414"/>
      <c r="L425" s="1414"/>
      <c r="M425" s="1414">
        <f t="shared" si="84"/>
        <v>0</v>
      </c>
      <c r="N425" s="1414">
        <f t="shared" si="81"/>
        <v>0</v>
      </c>
      <c r="O425" s="1453">
        <f t="shared" si="82"/>
        <v>0</v>
      </c>
      <c r="P425" s="1328">
        <f t="shared" si="83"/>
        <v>0</v>
      </c>
    </row>
    <row r="426" spans="1:16" ht="62" hidden="1" customHeight="1" outlineLevel="1" thickBot="1" x14ac:dyDescent="0.3">
      <c r="A426" s="1416">
        <f>A331</f>
        <v>5.3</v>
      </c>
      <c r="B426" s="1419" t="str">
        <f t="shared" si="87"/>
        <v>Supply &amp; Erection of Reheater front Pendent Assembly consisting Full set of Cold Reheater coil assembly For Unit No 2 with necessary attachments, Crown Plate. Heat shield, roof seal bend, steam cooled spacer tube with necessary attachment.</v>
      </c>
      <c r="C426" s="1416" t="str">
        <f t="shared" si="87"/>
        <v>MERC/TECH-1/CAPEX/20142015/006</v>
      </c>
      <c r="D426" s="1456">
        <f t="shared" si="87"/>
        <v>41928</v>
      </c>
      <c r="E426" s="1414">
        <f t="shared" si="87"/>
        <v>2.7109999999999999</v>
      </c>
      <c r="F426" s="1452">
        <f t="shared" si="77"/>
        <v>2.6624558</v>
      </c>
      <c r="G426" s="1452">
        <f t="shared" si="78"/>
        <v>2.6624558</v>
      </c>
      <c r="H426" s="1452">
        <f t="shared" si="79"/>
        <v>0</v>
      </c>
      <c r="I426" s="1452">
        <v>0</v>
      </c>
      <c r="J426" s="1452">
        <v>0</v>
      </c>
      <c r="K426" s="1414"/>
      <c r="L426" s="1414"/>
      <c r="M426" s="1414">
        <f t="shared" si="84"/>
        <v>0</v>
      </c>
      <c r="N426" s="1414">
        <f t="shared" si="81"/>
        <v>0</v>
      </c>
      <c r="O426" s="1453">
        <f t="shared" si="82"/>
        <v>0</v>
      </c>
      <c r="P426" s="1328">
        <f t="shared" si="83"/>
        <v>0</v>
      </c>
    </row>
    <row r="427" spans="1:16" ht="62" hidden="1" customHeight="1" outlineLevel="1" thickBot="1" x14ac:dyDescent="0.3">
      <c r="A427" s="1416">
        <f>A332</f>
        <v>5.4</v>
      </c>
      <c r="B427" s="1419" t="str">
        <f t="shared" si="87"/>
        <v>Supply &amp; Erection of Reheater front Pendent Assembly consisting Full set of Cold Reheater coil assembly For Unit No 3 with necessary attachments, Crown Plate. Heat shield, roof seal bend, steam cooled spacer tube with necessary attachment.</v>
      </c>
      <c r="C427" s="1416" t="str">
        <f t="shared" si="87"/>
        <v>MERC/TECH-1/CAPEX/20142015/006</v>
      </c>
      <c r="D427" s="1456">
        <f t="shared" si="87"/>
        <v>41928</v>
      </c>
      <c r="E427" s="1414">
        <f t="shared" si="87"/>
        <v>2.7109999999999999</v>
      </c>
      <c r="F427" s="1452">
        <f t="shared" si="77"/>
        <v>2.3531</v>
      </c>
      <c r="G427" s="1452">
        <f t="shared" si="78"/>
        <v>2.3531</v>
      </c>
      <c r="H427" s="1452">
        <f t="shared" si="79"/>
        <v>0</v>
      </c>
      <c r="I427" s="1452">
        <v>0</v>
      </c>
      <c r="J427" s="1452">
        <v>0</v>
      </c>
      <c r="K427" s="1414"/>
      <c r="L427" s="1414"/>
      <c r="M427" s="1414">
        <f t="shared" si="84"/>
        <v>0</v>
      </c>
      <c r="N427" s="1414">
        <f t="shared" si="81"/>
        <v>0</v>
      </c>
      <c r="O427" s="1453">
        <f t="shared" si="82"/>
        <v>0</v>
      </c>
      <c r="P427" s="1328">
        <f t="shared" si="83"/>
        <v>0</v>
      </c>
    </row>
    <row r="428" spans="1:16" ht="31" hidden="1" customHeight="1" outlineLevel="1" thickBot="1" x14ac:dyDescent="0.3">
      <c r="A428" s="1406"/>
      <c r="B428" s="1419" t="str">
        <f t="shared" si="87"/>
        <v>IDC</v>
      </c>
      <c r="C428" s="1416" t="str">
        <f t="shared" si="87"/>
        <v>MERC/TECH-1/CAPEX/20142015/006</v>
      </c>
      <c r="D428" s="1456">
        <f t="shared" si="87"/>
        <v>41928</v>
      </c>
      <c r="E428" s="1414">
        <f t="shared" si="87"/>
        <v>1.6890000000000001</v>
      </c>
      <c r="F428" s="1452">
        <f t="shared" si="77"/>
        <v>0</v>
      </c>
      <c r="G428" s="1452">
        <f t="shared" si="78"/>
        <v>0</v>
      </c>
      <c r="H428" s="1452">
        <f t="shared" si="79"/>
        <v>0</v>
      </c>
      <c r="I428" s="1452">
        <v>0</v>
      </c>
      <c r="J428" s="1452">
        <v>0</v>
      </c>
      <c r="K428" s="1414"/>
      <c r="L428" s="1414"/>
      <c r="M428" s="1414">
        <f t="shared" si="84"/>
        <v>0</v>
      </c>
      <c r="N428" s="1414">
        <f t="shared" si="81"/>
        <v>0</v>
      </c>
      <c r="O428" s="1453">
        <f t="shared" si="82"/>
        <v>0</v>
      </c>
      <c r="P428" s="1328">
        <f t="shared" si="83"/>
        <v>0</v>
      </c>
    </row>
    <row r="429" spans="1:16" ht="46.5" hidden="1" customHeight="1" outlineLevel="1" thickBot="1" x14ac:dyDescent="0.3">
      <c r="A429" s="1406">
        <f>A334</f>
        <v>6</v>
      </c>
      <c r="B429" s="1407" t="str">
        <f t="shared" si="87"/>
        <v>Boiler Process Improvement by replacement of damaged valves and Boiler Perfm Imp by Air Pre-Heater Up gradation of U#2 &amp; U#3 at BTPS</v>
      </c>
      <c r="C429" s="1406" t="str">
        <f t="shared" si="87"/>
        <v>MERC/Tech-1/CAPEX /2014-15/00433</v>
      </c>
      <c r="D429" s="1451">
        <f t="shared" si="87"/>
        <v>41792</v>
      </c>
      <c r="E429" s="1452">
        <f t="shared" si="87"/>
        <v>17.369999999999997</v>
      </c>
      <c r="F429" s="1452">
        <f t="shared" si="77"/>
        <v>0</v>
      </c>
      <c r="G429" s="1452">
        <f t="shared" si="78"/>
        <v>0</v>
      </c>
      <c r="H429" s="1452">
        <f t="shared" si="79"/>
        <v>0</v>
      </c>
      <c r="I429" s="1452">
        <v>0</v>
      </c>
      <c r="J429" s="1452">
        <v>0</v>
      </c>
      <c r="K429" s="1452"/>
      <c r="L429" s="1452"/>
      <c r="M429" s="1452">
        <f t="shared" si="84"/>
        <v>0</v>
      </c>
      <c r="N429" s="1452">
        <f t="shared" si="81"/>
        <v>0</v>
      </c>
      <c r="O429" s="1453">
        <f t="shared" si="82"/>
        <v>0</v>
      </c>
      <c r="P429" s="1328">
        <f t="shared" si="83"/>
        <v>0</v>
      </c>
    </row>
    <row r="430" spans="1:16" ht="31" hidden="1" customHeight="1" outlineLevel="1" thickBot="1" x14ac:dyDescent="0.3">
      <c r="A430" s="1411">
        <f>A335</f>
        <v>6.1</v>
      </c>
      <c r="B430" s="1419" t="str">
        <f t="shared" si="87"/>
        <v>Replacement of boiler outlet valves and damaged valves of units 2 &amp; 3</v>
      </c>
      <c r="C430" s="1411" t="str">
        <f t="shared" si="87"/>
        <v>MERC/Tech-1/CAPEX /2014-15/00433</v>
      </c>
      <c r="D430" s="1454">
        <f t="shared" si="87"/>
        <v>41792</v>
      </c>
      <c r="E430" s="1414">
        <f t="shared" si="87"/>
        <v>2.62</v>
      </c>
      <c r="F430" s="1452">
        <f t="shared" si="77"/>
        <v>1.3984000000000001</v>
      </c>
      <c r="G430" s="1452">
        <f t="shared" si="78"/>
        <v>1.3984000000000001</v>
      </c>
      <c r="H430" s="1452">
        <f t="shared" si="79"/>
        <v>0</v>
      </c>
      <c r="I430" s="1452">
        <v>0</v>
      </c>
      <c r="J430" s="1452">
        <v>0</v>
      </c>
      <c r="K430" s="1414"/>
      <c r="L430" s="1414"/>
      <c r="M430" s="1414">
        <f t="shared" si="84"/>
        <v>0</v>
      </c>
      <c r="N430" s="1414">
        <f t="shared" si="81"/>
        <v>0</v>
      </c>
      <c r="O430" s="1453">
        <f t="shared" si="82"/>
        <v>0</v>
      </c>
      <c r="P430" s="1328">
        <f t="shared" si="83"/>
        <v>0</v>
      </c>
    </row>
    <row r="431" spans="1:16" ht="31" hidden="1" customHeight="1" outlineLevel="1" thickBot="1" x14ac:dyDescent="0.3">
      <c r="A431" s="1411">
        <f>A336</f>
        <v>6.2</v>
      </c>
      <c r="B431" s="1419" t="str">
        <f t="shared" si="87"/>
        <v>Air pre heater up gradation of heat exchanger matrix &amp; regenerative dynamic sealing of units 2 &amp; 3</v>
      </c>
      <c r="C431" s="1411" t="str">
        <f t="shared" si="87"/>
        <v>MERC/Tech-1/CAPEX /2014-15/00433</v>
      </c>
      <c r="D431" s="1454">
        <f t="shared" si="87"/>
        <v>41792</v>
      </c>
      <c r="E431" s="1414">
        <f t="shared" si="87"/>
        <v>13.404999999999999</v>
      </c>
      <c r="F431" s="1452">
        <f t="shared" si="77"/>
        <v>1.2086276</v>
      </c>
      <c r="G431" s="1452">
        <f t="shared" si="78"/>
        <v>1.2086276</v>
      </c>
      <c r="H431" s="1452">
        <f t="shared" si="79"/>
        <v>0</v>
      </c>
      <c r="I431" s="1452">
        <v>0</v>
      </c>
      <c r="J431" s="1452">
        <v>0</v>
      </c>
      <c r="K431" s="1414"/>
      <c r="L431" s="1414"/>
      <c r="M431" s="1414">
        <f t="shared" si="84"/>
        <v>0</v>
      </c>
      <c r="N431" s="1414">
        <f t="shared" si="81"/>
        <v>0</v>
      </c>
      <c r="O431" s="1453">
        <f t="shared" si="82"/>
        <v>0</v>
      </c>
      <c r="P431" s="1328">
        <f t="shared" si="83"/>
        <v>0</v>
      </c>
    </row>
    <row r="432" spans="1:16" ht="31" hidden="1" customHeight="1" outlineLevel="1" thickBot="1" x14ac:dyDescent="0.3">
      <c r="A432" s="1411"/>
      <c r="B432" s="1419" t="str">
        <f t="shared" si="87"/>
        <v>IDC</v>
      </c>
      <c r="C432" s="1411" t="str">
        <f t="shared" si="87"/>
        <v>MERC/Tech-1/CAPEX /2014-15/00433</v>
      </c>
      <c r="D432" s="1454">
        <f t="shared" si="87"/>
        <v>41792</v>
      </c>
      <c r="E432" s="1414">
        <f t="shared" si="87"/>
        <v>1.345</v>
      </c>
      <c r="F432" s="1452">
        <f t="shared" si="77"/>
        <v>0</v>
      </c>
      <c r="G432" s="1452">
        <f t="shared" si="78"/>
        <v>0</v>
      </c>
      <c r="H432" s="1452">
        <f t="shared" si="79"/>
        <v>0</v>
      </c>
      <c r="I432" s="1452">
        <v>0</v>
      </c>
      <c r="J432" s="1452">
        <v>0</v>
      </c>
      <c r="K432" s="1414"/>
      <c r="L432" s="1414"/>
      <c r="M432" s="1414">
        <f t="shared" si="84"/>
        <v>0</v>
      </c>
      <c r="N432" s="1414">
        <f t="shared" si="81"/>
        <v>0</v>
      </c>
      <c r="O432" s="1453">
        <f t="shared" si="82"/>
        <v>0</v>
      </c>
      <c r="P432" s="1328">
        <f t="shared" si="83"/>
        <v>0</v>
      </c>
    </row>
    <row r="433" spans="1:16" ht="31" hidden="1" customHeight="1" outlineLevel="1" thickBot="1" x14ac:dyDescent="0.3">
      <c r="A433" s="1406">
        <f t="shared" ref="A433:E445" si="88">A338</f>
        <v>8</v>
      </c>
      <c r="B433" s="1407" t="str">
        <f t="shared" si="88"/>
        <v>Stack management by procurement of Bulldozer &amp; LOCO and CHP area schemes for performance &amp; unloading improvement</v>
      </c>
      <c r="C433" s="1406" t="str">
        <f t="shared" si="88"/>
        <v>MERC/CAPEX/20162017/01426</v>
      </c>
      <c r="D433" s="1451">
        <f t="shared" si="88"/>
        <v>42768</v>
      </c>
      <c r="E433" s="1452">
        <f t="shared" si="88"/>
        <v>2.0930578512396689</v>
      </c>
      <c r="F433" s="1452">
        <f t="shared" si="77"/>
        <v>0</v>
      </c>
      <c r="G433" s="1452">
        <f t="shared" si="78"/>
        <v>0</v>
      </c>
      <c r="H433" s="1452">
        <f t="shared" si="79"/>
        <v>0</v>
      </c>
      <c r="I433" s="1452">
        <v>0</v>
      </c>
      <c r="J433" s="1452">
        <v>0</v>
      </c>
      <c r="K433" s="1452"/>
      <c r="L433" s="1452"/>
      <c r="M433" s="1452">
        <f t="shared" si="84"/>
        <v>0</v>
      </c>
      <c r="N433" s="1452">
        <f t="shared" si="81"/>
        <v>0</v>
      </c>
      <c r="O433" s="1453">
        <f t="shared" si="82"/>
        <v>0</v>
      </c>
      <c r="P433" s="1328">
        <f t="shared" si="83"/>
        <v>0</v>
      </c>
    </row>
    <row r="434" spans="1:16" ht="15.5" hidden="1" customHeight="1" outlineLevel="1" thickBot="1" x14ac:dyDescent="0.3">
      <c r="A434" s="1411">
        <f t="shared" si="88"/>
        <v>8.1</v>
      </c>
      <c r="B434" s="1419" t="str">
        <f t="shared" si="88"/>
        <v>Procurement of Locomotive 800 HP (2 No.’s)</v>
      </c>
      <c r="C434" s="1411" t="str">
        <f t="shared" si="88"/>
        <v>MERC/CAPEX/20162017/01426</v>
      </c>
      <c r="D434" s="1454">
        <f t="shared" si="88"/>
        <v>42768</v>
      </c>
      <c r="E434" s="1414">
        <f t="shared" si="88"/>
        <v>1.0395867768595042</v>
      </c>
      <c r="F434" s="1452">
        <f t="shared" si="77"/>
        <v>1.0134768000000001</v>
      </c>
      <c r="G434" s="1452">
        <f t="shared" si="78"/>
        <v>1.0134768000000001</v>
      </c>
      <c r="H434" s="1452">
        <f t="shared" si="79"/>
        <v>0</v>
      </c>
      <c r="I434" s="1452">
        <v>0</v>
      </c>
      <c r="J434" s="1452">
        <v>0</v>
      </c>
      <c r="K434" s="1414"/>
      <c r="L434" s="1414"/>
      <c r="M434" s="1414">
        <f t="shared" si="84"/>
        <v>0</v>
      </c>
      <c r="N434" s="1414">
        <f t="shared" si="81"/>
        <v>0</v>
      </c>
      <c r="O434" s="1453">
        <f t="shared" si="82"/>
        <v>0</v>
      </c>
      <c r="P434" s="1328">
        <f t="shared" si="83"/>
        <v>0</v>
      </c>
    </row>
    <row r="435" spans="1:16" ht="15.5" hidden="1" customHeight="1" outlineLevel="1" thickBot="1" x14ac:dyDescent="0.3">
      <c r="A435" s="1411">
        <f t="shared" si="88"/>
        <v>8.1999999999999993</v>
      </c>
      <c r="B435" s="1419" t="str">
        <f t="shared" si="88"/>
        <v>Procurement of 2 No’s of Bulldozer Model D-155(2 No.’s)</v>
      </c>
      <c r="C435" s="1411" t="str">
        <f t="shared" si="88"/>
        <v>MERC/CAPEX/20162017/01426</v>
      </c>
      <c r="D435" s="1454">
        <f t="shared" si="88"/>
        <v>42768</v>
      </c>
      <c r="E435" s="1414">
        <f t="shared" si="88"/>
        <v>0.5380165289256198</v>
      </c>
      <c r="F435" s="1452">
        <f t="shared" si="77"/>
        <v>0.72968922148760329</v>
      </c>
      <c r="G435" s="1452">
        <f t="shared" si="78"/>
        <v>0.72968922148760329</v>
      </c>
      <c r="H435" s="1452">
        <f t="shared" si="79"/>
        <v>0</v>
      </c>
      <c r="I435" s="1452">
        <v>0</v>
      </c>
      <c r="J435" s="1452">
        <v>0</v>
      </c>
      <c r="K435" s="1414"/>
      <c r="L435" s="1414"/>
      <c r="M435" s="1414">
        <f t="shared" si="84"/>
        <v>0</v>
      </c>
      <c r="N435" s="1414">
        <f t="shared" si="81"/>
        <v>0</v>
      </c>
      <c r="O435" s="1453">
        <f t="shared" si="82"/>
        <v>0</v>
      </c>
      <c r="P435" s="1328">
        <f t="shared" si="83"/>
        <v>0</v>
      </c>
    </row>
    <row r="436" spans="1:16" ht="15.5" hidden="1" customHeight="1" outlineLevel="1" thickBot="1" x14ac:dyDescent="0.3">
      <c r="A436" s="1411">
        <f t="shared" si="88"/>
        <v>8.3000000000000007</v>
      </c>
      <c r="B436" s="1419" t="str">
        <f t="shared" si="88"/>
        <v>Modification below primary crusher chutes 15A/B &amp; Conv.02</v>
      </c>
      <c r="C436" s="1411" t="str">
        <f t="shared" si="88"/>
        <v>MERC/CAPEX/20162017/01426</v>
      </c>
      <c r="D436" s="1454">
        <f t="shared" si="88"/>
        <v>42768</v>
      </c>
      <c r="E436" s="1414">
        <f t="shared" si="88"/>
        <v>9.0247933884297526E-2</v>
      </c>
      <c r="F436" s="1452">
        <f t="shared" si="77"/>
        <v>7.9869421487603301E-2</v>
      </c>
      <c r="G436" s="1452">
        <f t="shared" si="78"/>
        <v>7.9869421487603301E-2</v>
      </c>
      <c r="H436" s="1452">
        <f t="shared" si="79"/>
        <v>0</v>
      </c>
      <c r="I436" s="1452">
        <v>0</v>
      </c>
      <c r="J436" s="1452">
        <v>0</v>
      </c>
      <c r="K436" s="1414"/>
      <c r="L436" s="1414"/>
      <c r="M436" s="1414">
        <f t="shared" si="84"/>
        <v>0</v>
      </c>
      <c r="N436" s="1414">
        <f t="shared" si="81"/>
        <v>0</v>
      </c>
      <c r="O436" s="1453">
        <f t="shared" si="82"/>
        <v>0</v>
      </c>
      <c r="P436" s="1328">
        <f t="shared" si="83"/>
        <v>0</v>
      </c>
    </row>
    <row r="437" spans="1:16" ht="15.5" hidden="1" customHeight="1" outlineLevel="1" thickBot="1" x14ac:dyDescent="0.3">
      <c r="A437" s="1411">
        <f t="shared" si="88"/>
        <v>8.4</v>
      </c>
      <c r="B437" s="1419" t="str">
        <f t="shared" si="88"/>
        <v>New helical gear box for various conveyors</v>
      </c>
      <c r="C437" s="1411" t="str">
        <f t="shared" si="88"/>
        <v>MERC/CAPEX/20162017/01426</v>
      </c>
      <c r="D437" s="1454">
        <f t="shared" si="88"/>
        <v>42768</v>
      </c>
      <c r="E437" s="1414">
        <f t="shared" si="88"/>
        <v>0.16661157024793388</v>
      </c>
      <c r="F437" s="1452">
        <f t="shared" si="77"/>
        <v>0</v>
      </c>
      <c r="G437" s="1452">
        <f t="shared" si="78"/>
        <v>0</v>
      </c>
      <c r="H437" s="1452">
        <f t="shared" si="79"/>
        <v>0</v>
      </c>
      <c r="I437" s="1452">
        <v>0</v>
      </c>
      <c r="J437" s="1452">
        <v>0</v>
      </c>
      <c r="K437" s="1414"/>
      <c r="L437" s="1414"/>
      <c r="M437" s="1414">
        <f t="shared" si="84"/>
        <v>0</v>
      </c>
      <c r="N437" s="1414">
        <f t="shared" si="81"/>
        <v>0</v>
      </c>
      <c r="O437" s="1453">
        <f t="shared" si="82"/>
        <v>0</v>
      </c>
      <c r="P437" s="1328">
        <f t="shared" si="83"/>
        <v>0</v>
      </c>
    </row>
    <row r="438" spans="1:16" ht="15.5" hidden="1" customHeight="1" outlineLevel="1" thickBot="1" x14ac:dyDescent="0.3">
      <c r="A438" s="1411">
        <f t="shared" si="88"/>
        <v>8.5</v>
      </c>
      <c r="B438" s="1419" t="str">
        <f t="shared" si="88"/>
        <v xml:space="preserve">Procurement of Elecon Make Ring Granulator Type TK-09-38B </v>
      </c>
      <c r="C438" s="1411" t="str">
        <f t="shared" si="88"/>
        <v>MERC/CAPEX/20162017/01426</v>
      </c>
      <c r="D438" s="1454">
        <f t="shared" si="88"/>
        <v>42768</v>
      </c>
      <c r="E438" s="1414">
        <f t="shared" si="88"/>
        <v>0.11280991735537189</v>
      </c>
      <c r="F438" s="1452">
        <f t="shared" si="77"/>
        <v>0</v>
      </c>
      <c r="G438" s="1452">
        <f t="shared" si="78"/>
        <v>0</v>
      </c>
      <c r="H438" s="1452">
        <f t="shared" si="79"/>
        <v>0</v>
      </c>
      <c r="I438" s="1452">
        <v>0</v>
      </c>
      <c r="J438" s="1452">
        <v>0</v>
      </c>
      <c r="K438" s="1414"/>
      <c r="L438" s="1414"/>
      <c r="M438" s="1414">
        <f t="shared" si="84"/>
        <v>0</v>
      </c>
      <c r="N438" s="1414">
        <f t="shared" si="81"/>
        <v>0</v>
      </c>
      <c r="O438" s="1453">
        <f t="shared" si="82"/>
        <v>0</v>
      </c>
      <c r="P438" s="1328">
        <f t="shared" si="83"/>
        <v>0</v>
      </c>
    </row>
    <row r="439" spans="1:16" ht="31" hidden="1" customHeight="1" outlineLevel="1" thickBot="1" x14ac:dyDescent="0.3">
      <c r="A439" s="1411">
        <f t="shared" si="88"/>
        <v>8.6</v>
      </c>
      <c r="B439" s="1419" t="str">
        <f t="shared" si="88"/>
        <v>Procurement of Elecon Make Ring Granulator Type TK6 32B Ring Granulator</v>
      </c>
      <c r="C439" s="1411" t="str">
        <f t="shared" si="88"/>
        <v>MERC/CAPEX/20162017/01426</v>
      </c>
      <c r="D439" s="1454">
        <f t="shared" si="88"/>
        <v>42768</v>
      </c>
      <c r="E439" s="1414">
        <f t="shared" si="88"/>
        <v>7.1157024793388424E-2</v>
      </c>
      <c r="F439" s="1452">
        <f t="shared" si="77"/>
        <v>0</v>
      </c>
      <c r="G439" s="1452">
        <f t="shared" si="78"/>
        <v>0</v>
      </c>
      <c r="H439" s="1452">
        <f t="shared" si="79"/>
        <v>0</v>
      </c>
      <c r="I439" s="1452">
        <v>0</v>
      </c>
      <c r="J439" s="1452">
        <v>0</v>
      </c>
      <c r="K439" s="1414"/>
      <c r="L439" s="1414"/>
      <c r="M439" s="1414">
        <f t="shared" si="84"/>
        <v>0</v>
      </c>
      <c r="N439" s="1414">
        <f t="shared" si="81"/>
        <v>0</v>
      </c>
      <c r="O439" s="1453">
        <f t="shared" si="82"/>
        <v>0</v>
      </c>
      <c r="P439" s="1328">
        <f t="shared" si="83"/>
        <v>0</v>
      </c>
    </row>
    <row r="440" spans="1:16" ht="15.5" hidden="1" customHeight="1" outlineLevel="1" thickBot="1" x14ac:dyDescent="0.3">
      <c r="A440" s="1411"/>
      <c r="B440" s="1419" t="str">
        <f t="shared" si="88"/>
        <v>IDC</v>
      </c>
      <c r="C440" s="1411" t="str">
        <f t="shared" si="88"/>
        <v>MERC/CAPEX/20162017/01426</v>
      </c>
      <c r="D440" s="1454">
        <f t="shared" si="88"/>
        <v>42768</v>
      </c>
      <c r="E440" s="1414">
        <f t="shared" si="88"/>
        <v>7.4628099173553716E-2</v>
      </c>
      <c r="F440" s="1452">
        <f t="shared" si="77"/>
        <v>0</v>
      </c>
      <c r="G440" s="1452">
        <f t="shared" si="78"/>
        <v>0</v>
      </c>
      <c r="H440" s="1452">
        <f t="shared" si="79"/>
        <v>0</v>
      </c>
      <c r="I440" s="1452">
        <v>0</v>
      </c>
      <c r="J440" s="1452">
        <v>0</v>
      </c>
      <c r="K440" s="1414"/>
      <c r="L440" s="1414"/>
      <c r="M440" s="1414">
        <f t="shared" si="84"/>
        <v>0</v>
      </c>
      <c r="N440" s="1414">
        <f t="shared" si="81"/>
        <v>0</v>
      </c>
      <c r="O440" s="1453">
        <f t="shared" si="82"/>
        <v>0</v>
      </c>
      <c r="P440" s="1328">
        <f t="shared" si="83"/>
        <v>0</v>
      </c>
    </row>
    <row r="441" spans="1:16" ht="46.5" hidden="1" customHeight="1" outlineLevel="1" thickBot="1" x14ac:dyDescent="0.3">
      <c r="A441" s="1406">
        <f>A346</f>
        <v>14</v>
      </c>
      <c r="B441" s="1407" t="str">
        <f t="shared" si="88"/>
        <v>Upgradation of Symphony Harmony DCS, 220V 1285 AH Battery &amp; Charger and Replacement of 6.6 kV HT MOCB by VCB at BTPS, Bhusawal</v>
      </c>
      <c r="C441" s="1406" t="str">
        <f t="shared" si="88"/>
        <v>MERC/CAPEX/2019-2020/915</v>
      </c>
      <c r="D441" s="1451">
        <f t="shared" si="88"/>
        <v>43760</v>
      </c>
      <c r="E441" s="1452">
        <f t="shared" si="88"/>
        <v>13.72861</v>
      </c>
      <c r="F441" s="1452">
        <f t="shared" si="77"/>
        <v>0</v>
      </c>
      <c r="G441" s="1452">
        <f t="shared" si="78"/>
        <v>0</v>
      </c>
      <c r="H441" s="1452">
        <f t="shared" si="79"/>
        <v>0</v>
      </c>
      <c r="I441" s="1452">
        <v>0</v>
      </c>
      <c r="J441" s="1452">
        <v>0</v>
      </c>
      <c r="K441" s="1452"/>
      <c r="L441" s="1452"/>
      <c r="M441" s="1452">
        <f t="shared" si="84"/>
        <v>0</v>
      </c>
      <c r="N441" s="1452">
        <f t="shared" si="81"/>
        <v>0</v>
      </c>
      <c r="O441" s="1453">
        <f t="shared" si="82"/>
        <v>0</v>
      </c>
      <c r="P441" s="1328">
        <f t="shared" si="83"/>
        <v>0</v>
      </c>
    </row>
    <row r="442" spans="1:16" ht="31" hidden="1" customHeight="1" outlineLevel="1" thickBot="1" x14ac:dyDescent="0.3">
      <c r="A442" s="1411">
        <f>A347</f>
        <v>14.1</v>
      </c>
      <c r="B442" s="1419" t="str">
        <f t="shared" si="88"/>
        <v>HMI Up-gradation of Symphony Harmony DCS Unit-3, 210MW, BTPS.</v>
      </c>
      <c r="C442" s="1411" t="str">
        <f t="shared" si="88"/>
        <v>MERC/CAPEX/2019-2020/915</v>
      </c>
      <c r="D442" s="1454">
        <f t="shared" si="88"/>
        <v>43760</v>
      </c>
      <c r="E442" s="1457">
        <f t="shared" si="88"/>
        <v>5.54</v>
      </c>
      <c r="F442" s="1452">
        <f t="shared" si="77"/>
        <v>5.54</v>
      </c>
      <c r="G442" s="1452">
        <f t="shared" si="78"/>
        <v>5.54</v>
      </c>
      <c r="H442" s="1452">
        <f t="shared" si="79"/>
        <v>0</v>
      </c>
      <c r="I442" s="1452">
        <v>0</v>
      </c>
      <c r="J442" s="1452">
        <v>0</v>
      </c>
      <c r="K442" s="1457"/>
      <c r="L442" s="1457"/>
      <c r="M442" s="1457">
        <f t="shared" si="84"/>
        <v>0</v>
      </c>
      <c r="N442" s="1457">
        <f t="shared" si="81"/>
        <v>0</v>
      </c>
      <c r="O442" s="1453">
        <f t="shared" si="82"/>
        <v>0</v>
      </c>
      <c r="P442" s="1328">
        <f t="shared" si="83"/>
        <v>0</v>
      </c>
    </row>
    <row r="443" spans="1:16" ht="46.5" hidden="1" customHeight="1" outlineLevel="1" thickBot="1" x14ac:dyDescent="0.3">
      <c r="A443" s="1411">
        <f>A348</f>
        <v>14.2</v>
      </c>
      <c r="B443" s="1419" t="str">
        <f t="shared" si="88"/>
        <v>Supply, erection, commissioning and site testing of Plante 220V DC, 1285 AH, Station Battery Set and charging equipment for 1285 AH Plante battery for Unit 3.</v>
      </c>
      <c r="C443" s="1411" t="str">
        <f t="shared" si="88"/>
        <v>MERC/CAPEX/2019-2020/915</v>
      </c>
      <c r="D443" s="1454">
        <f t="shared" si="88"/>
        <v>43760</v>
      </c>
      <c r="E443" s="1457">
        <f t="shared" si="88"/>
        <v>1.71861</v>
      </c>
      <c r="F443" s="1452">
        <f t="shared" si="77"/>
        <v>1.71861</v>
      </c>
      <c r="G443" s="1452">
        <f t="shared" si="78"/>
        <v>1.71861</v>
      </c>
      <c r="H443" s="1452">
        <f t="shared" si="79"/>
        <v>0</v>
      </c>
      <c r="I443" s="1452">
        <v>0</v>
      </c>
      <c r="J443" s="1452">
        <v>0</v>
      </c>
      <c r="K443" s="1457"/>
      <c r="L443" s="1457"/>
      <c r="M443" s="1457">
        <f t="shared" si="84"/>
        <v>0</v>
      </c>
      <c r="N443" s="1457">
        <f t="shared" si="81"/>
        <v>0</v>
      </c>
      <c r="O443" s="1453">
        <f t="shared" si="82"/>
        <v>0</v>
      </c>
      <c r="P443" s="1328">
        <f t="shared" si="83"/>
        <v>0</v>
      </c>
    </row>
    <row r="444" spans="1:16" ht="31" hidden="1" customHeight="1" outlineLevel="1" thickBot="1" x14ac:dyDescent="0.3">
      <c r="A444" s="1411">
        <f>A349</f>
        <v>14.3</v>
      </c>
      <c r="B444" s="1419" t="str">
        <f t="shared" si="88"/>
        <v>Retrofitting of 6.6 kv breakers of unit -3 along without door plant boards by vacuum circuit breakers.</v>
      </c>
      <c r="C444" s="1411" t="str">
        <f t="shared" si="88"/>
        <v>MERC/CAPEX/2019-2020/915</v>
      </c>
      <c r="D444" s="1454">
        <f t="shared" si="88"/>
        <v>43760</v>
      </c>
      <c r="E444" s="1457">
        <f t="shared" si="88"/>
        <v>6.47</v>
      </c>
      <c r="F444" s="1452">
        <f t="shared" si="77"/>
        <v>6.1082700000000001</v>
      </c>
      <c r="G444" s="1452">
        <f t="shared" si="78"/>
        <v>6.1082700000000001</v>
      </c>
      <c r="H444" s="1452">
        <f t="shared" si="79"/>
        <v>0</v>
      </c>
      <c r="I444" s="1452">
        <v>0</v>
      </c>
      <c r="J444" s="1452">
        <v>0</v>
      </c>
      <c r="K444" s="1457"/>
      <c r="L444" s="1457"/>
      <c r="M444" s="1457">
        <f t="shared" si="84"/>
        <v>0</v>
      </c>
      <c r="N444" s="1457">
        <f t="shared" si="81"/>
        <v>0</v>
      </c>
      <c r="O444" s="1453">
        <f t="shared" si="82"/>
        <v>0</v>
      </c>
      <c r="P444" s="1328">
        <f t="shared" si="83"/>
        <v>0</v>
      </c>
    </row>
    <row r="445" spans="1:16" ht="15.5" hidden="1" customHeight="1" outlineLevel="1" thickBot="1" x14ac:dyDescent="0.3">
      <c r="A445" s="1411"/>
      <c r="B445" s="1419" t="str">
        <f t="shared" si="88"/>
        <v>IDC</v>
      </c>
      <c r="C445" s="1411" t="str">
        <f t="shared" si="88"/>
        <v>MERC/CAPEX/2019-2020/915</v>
      </c>
      <c r="D445" s="1454">
        <f t="shared" si="88"/>
        <v>43760</v>
      </c>
      <c r="E445" s="1457">
        <f t="shared" si="88"/>
        <v>0</v>
      </c>
      <c r="F445" s="1452">
        <f t="shared" si="77"/>
        <v>0</v>
      </c>
      <c r="G445" s="1452">
        <f t="shared" si="78"/>
        <v>0</v>
      </c>
      <c r="H445" s="1452">
        <f t="shared" si="79"/>
        <v>0</v>
      </c>
      <c r="I445" s="1452">
        <v>0</v>
      </c>
      <c r="J445" s="1452">
        <v>0</v>
      </c>
      <c r="K445" s="1457"/>
      <c r="L445" s="1457"/>
      <c r="M445" s="1457">
        <f t="shared" si="84"/>
        <v>0</v>
      </c>
      <c r="N445" s="1457">
        <f t="shared" si="81"/>
        <v>0</v>
      </c>
      <c r="O445" s="1453">
        <f t="shared" si="82"/>
        <v>0</v>
      </c>
      <c r="P445" s="1328">
        <f t="shared" si="83"/>
        <v>0</v>
      </c>
    </row>
    <row r="446" spans="1:16" ht="46.5" hidden="1" customHeight="1" outlineLevel="1" thickBot="1" x14ac:dyDescent="0.3">
      <c r="A446" s="1406" t="str">
        <f t="shared" ref="A446:E461" si="89">A351</f>
        <v>HO
DPR-5</v>
      </c>
      <c r="B446" s="1407" t="str">
        <f t="shared" si="89"/>
        <v>Procurement of energy efficient HT motors at Bhusawal TPS, Koradi TPS, Chandrapur TPS, khaperkheda TPS, Parli TPS &amp; Paras TPS as insurance spares</v>
      </c>
      <c r="C446" s="1406" t="str">
        <f t="shared" si="89"/>
        <v>MERC/TECH 1/CAPEX/20142015/01218</v>
      </c>
      <c r="D446" s="1451">
        <f t="shared" si="89"/>
        <v>41968</v>
      </c>
      <c r="E446" s="1452">
        <f t="shared" si="89"/>
        <v>1.91</v>
      </c>
      <c r="F446" s="1452">
        <f t="shared" si="77"/>
        <v>0</v>
      </c>
      <c r="G446" s="1452">
        <f t="shared" si="78"/>
        <v>0</v>
      </c>
      <c r="H446" s="1452">
        <f t="shared" si="79"/>
        <v>0</v>
      </c>
      <c r="I446" s="1452">
        <v>0</v>
      </c>
      <c r="J446" s="1452">
        <v>0</v>
      </c>
      <c r="K446" s="1458"/>
      <c r="L446" s="1458"/>
      <c r="M446" s="1458">
        <f t="shared" si="84"/>
        <v>0</v>
      </c>
      <c r="N446" s="1458">
        <f t="shared" si="81"/>
        <v>0</v>
      </c>
      <c r="O446" s="1453">
        <f t="shared" si="82"/>
        <v>0</v>
      </c>
      <c r="P446" s="1328">
        <f t="shared" si="83"/>
        <v>0</v>
      </c>
    </row>
    <row r="447" spans="1:16" ht="31" hidden="1" customHeight="1" outlineLevel="1" thickBot="1" x14ac:dyDescent="0.4">
      <c r="A447" s="1416" t="str">
        <f t="shared" si="89"/>
        <v>HO
DPR 5.1</v>
      </c>
      <c r="B447" s="1422" t="str">
        <f t="shared" si="89"/>
        <v>Bhusawal: Procurement of HT motors (Coal Mill/CEP/CWP) for U-3</v>
      </c>
      <c r="C447" s="1416" t="str">
        <f t="shared" si="89"/>
        <v>MERC/TECH 1/CAPEX/20142015/01218</v>
      </c>
      <c r="D447" s="1456">
        <f t="shared" si="89"/>
        <v>41968</v>
      </c>
      <c r="E447" s="1455">
        <f t="shared" si="89"/>
        <v>1.91</v>
      </c>
      <c r="F447" s="1452">
        <f t="shared" si="77"/>
        <v>0.69702600000000003</v>
      </c>
      <c r="G447" s="1452">
        <f t="shared" si="78"/>
        <v>0.69702600000000003</v>
      </c>
      <c r="H447" s="1452">
        <f t="shared" si="79"/>
        <v>0</v>
      </c>
      <c r="I447" s="1452">
        <v>0</v>
      </c>
      <c r="J447" s="1452">
        <v>0</v>
      </c>
      <c r="K447" s="1455"/>
      <c r="L447" s="1455"/>
      <c r="M447" s="1455">
        <f t="shared" si="84"/>
        <v>0</v>
      </c>
      <c r="N447" s="1455">
        <f t="shared" si="81"/>
        <v>0</v>
      </c>
      <c r="O447" s="1453">
        <f t="shared" si="82"/>
        <v>0</v>
      </c>
      <c r="P447" s="1328">
        <f t="shared" si="83"/>
        <v>0</v>
      </c>
    </row>
    <row r="448" spans="1:16" ht="46.5" hidden="1" customHeight="1" outlineLevel="1" thickBot="1" x14ac:dyDescent="0.3">
      <c r="A448" s="1406" t="str">
        <f t="shared" si="89"/>
        <v>HO
DPR 6</v>
      </c>
      <c r="B448" s="1407" t="str">
        <f t="shared" si="89"/>
        <v>Supply, Installation, Commissioning and Operation &amp; Maintenance Services of Continuous Ambient Air Quality Monitoring Stations (CAAQMS) at various TPS</v>
      </c>
      <c r="C448" s="1406" t="str">
        <f t="shared" si="89"/>
        <v>MERC/CAPEX/20162017/00423</v>
      </c>
      <c r="D448" s="1451">
        <f t="shared" si="89"/>
        <v>42585</v>
      </c>
      <c r="E448" s="1452">
        <f t="shared" si="89"/>
        <v>1.3257526714285714</v>
      </c>
      <c r="F448" s="1452">
        <f t="shared" si="77"/>
        <v>0</v>
      </c>
      <c r="G448" s="1452">
        <f t="shared" si="78"/>
        <v>0</v>
      </c>
      <c r="H448" s="1452">
        <f t="shared" si="79"/>
        <v>0</v>
      </c>
      <c r="I448" s="1452">
        <v>0</v>
      </c>
      <c r="J448" s="1452">
        <v>0</v>
      </c>
      <c r="K448" s="1458"/>
      <c r="L448" s="1458"/>
      <c r="M448" s="1458">
        <f t="shared" si="84"/>
        <v>0</v>
      </c>
      <c r="N448" s="1458">
        <f t="shared" si="81"/>
        <v>0</v>
      </c>
      <c r="O448" s="1453">
        <f t="shared" si="82"/>
        <v>0</v>
      </c>
      <c r="P448" s="1328">
        <f t="shared" si="83"/>
        <v>0</v>
      </c>
    </row>
    <row r="449" spans="1:16" ht="31" hidden="1" customHeight="1" outlineLevel="1" thickBot="1" x14ac:dyDescent="0.4">
      <c r="A449" s="1416" t="str">
        <f t="shared" si="89"/>
        <v>HO
DPR 6.1</v>
      </c>
      <c r="B449" s="1422" t="str">
        <f t="shared" si="89"/>
        <v>Bhusawal: Unit 2-3 (1 Nos.)</v>
      </c>
      <c r="C449" s="1416" t="str">
        <f t="shared" si="89"/>
        <v>MERC/CAPEX/20162017/00423</v>
      </c>
      <c r="D449" s="1459">
        <f t="shared" si="89"/>
        <v>42585</v>
      </c>
      <c r="E449" s="1455">
        <f t="shared" si="89"/>
        <v>1.3257526714285714</v>
      </c>
      <c r="F449" s="1452">
        <f t="shared" si="77"/>
        <v>0.9383999666666667</v>
      </c>
      <c r="G449" s="1452">
        <f t="shared" si="78"/>
        <v>0.9383999666666667</v>
      </c>
      <c r="H449" s="1452">
        <f t="shared" si="79"/>
        <v>0</v>
      </c>
      <c r="I449" s="1452">
        <v>0</v>
      </c>
      <c r="J449" s="1452">
        <v>0</v>
      </c>
      <c r="K449" s="1455"/>
      <c r="L449" s="1455"/>
      <c r="M449" s="1455">
        <f t="shared" si="84"/>
        <v>0</v>
      </c>
      <c r="N449" s="1455">
        <f t="shared" si="81"/>
        <v>0</v>
      </c>
      <c r="O449" s="1453">
        <f t="shared" si="82"/>
        <v>0</v>
      </c>
      <c r="P449" s="1328">
        <f t="shared" si="83"/>
        <v>0</v>
      </c>
    </row>
    <row r="450" spans="1:16" ht="31" hidden="1" customHeight="1" outlineLevel="1" thickBot="1" x14ac:dyDescent="0.3">
      <c r="A450" s="1406" t="str">
        <f t="shared" si="89"/>
        <v>HO
DPR 7</v>
      </c>
      <c r="B450" s="1407" t="str">
        <f t="shared" si="89"/>
        <v>Installation of Real Time Online Coal-Ash Analyzer at various TPS</v>
      </c>
      <c r="C450" s="1406" t="str">
        <f t="shared" si="89"/>
        <v>MERC/CAPEX/20162017/00774</v>
      </c>
      <c r="D450" s="1451">
        <f t="shared" si="89"/>
        <v>42643</v>
      </c>
      <c r="E450" s="1452">
        <f t="shared" si="89"/>
        <v>0</v>
      </c>
      <c r="F450" s="1452">
        <f t="shared" si="77"/>
        <v>0</v>
      </c>
      <c r="G450" s="1452">
        <f t="shared" si="78"/>
        <v>0</v>
      </c>
      <c r="H450" s="1452">
        <f t="shared" si="79"/>
        <v>0</v>
      </c>
      <c r="I450" s="1452">
        <v>0</v>
      </c>
      <c r="J450" s="1452">
        <v>0</v>
      </c>
      <c r="K450" s="1458"/>
      <c r="L450" s="1458"/>
      <c r="M450" s="1458">
        <f t="shared" si="84"/>
        <v>0</v>
      </c>
      <c r="N450" s="1458">
        <f t="shared" si="81"/>
        <v>0</v>
      </c>
      <c r="O450" s="1453">
        <f t="shared" si="82"/>
        <v>0</v>
      </c>
      <c r="P450" s="1328">
        <f t="shared" si="83"/>
        <v>0</v>
      </c>
    </row>
    <row r="451" spans="1:16" ht="31" hidden="1" customHeight="1" outlineLevel="1" thickBot="1" x14ac:dyDescent="0.4">
      <c r="A451" s="1416" t="str">
        <f t="shared" si="89"/>
        <v>HO
DPR 7.1</v>
      </c>
      <c r="B451" s="1422" t="str">
        <f t="shared" si="89"/>
        <v>Bhusawal: Unit 2-3</v>
      </c>
      <c r="C451" s="1416" t="str">
        <f t="shared" si="89"/>
        <v>MERC/CAPEX/20162017/00774</v>
      </c>
      <c r="D451" s="1459">
        <f t="shared" si="89"/>
        <v>42643</v>
      </c>
      <c r="E451" s="1455">
        <f t="shared" si="89"/>
        <v>0</v>
      </c>
      <c r="F451" s="1452">
        <f t="shared" si="77"/>
        <v>0</v>
      </c>
      <c r="G451" s="1452">
        <f t="shared" si="78"/>
        <v>0</v>
      </c>
      <c r="H451" s="1452">
        <f t="shared" si="79"/>
        <v>0</v>
      </c>
      <c r="I451" s="1452">
        <v>0</v>
      </c>
      <c r="J451" s="1452">
        <v>0</v>
      </c>
      <c r="K451" s="1455"/>
      <c r="L451" s="1455"/>
      <c r="M451" s="1455">
        <f t="shared" si="84"/>
        <v>0</v>
      </c>
      <c r="N451" s="1455">
        <f t="shared" si="81"/>
        <v>0</v>
      </c>
      <c r="O451" s="1453">
        <f t="shared" si="82"/>
        <v>0</v>
      </c>
      <c r="P451" s="1328">
        <f t="shared" si="83"/>
        <v>0</v>
      </c>
    </row>
    <row r="452" spans="1:16" ht="31" hidden="1" customHeight="1" outlineLevel="1" thickBot="1" x14ac:dyDescent="0.3">
      <c r="A452" s="1424" t="str">
        <f t="shared" si="89"/>
        <v>HO
DPR 13</v>
      </c>
      <c r="B452" s="1425" t="str">
        <f t="shared" si="89"/>
        <v>Construction of new Administrative Building for Mahagenco at Vidyut Bhawan, Katol Road, Nagpur</v>
      </c>
      <c r="C452" s="1460" t="str">
        <f t="shared" si="89"/>
        <v>MERC/CAPEX/2021-2022/MSPGCL/063</v>
      </c>
      <c r="D452" s="1461">
        <f t="shared" si="89"/>
        <v>44604</v>
      </c>
      <c r="E452" s="1462">
        <f t="shared" si="89"/>
        <v>57</v>
      </c>
      <c r="F452" s="302">
        <f t="shared" si="77"/>
        <v>0</v>
      </c>
      <c r="G452" s="302">
        <f t="shared" si="78"/>
        <v>0</v>
      </c>
      <c r="H452" s="302">
        <f t="shared" si="79"/>
        <v>0</v>
      </c>
      <c r="I452" s="1462">
        <v>0</v>
      </c>
      <c r="J452" s="1462">
        <v>0</v>
      </c>
      <c r="K452" s="302"/>
      <c r="L452" s="302"/>
      <c r="M452" s="302">
        <f t="shared" ref="M452:M479" si="90">SUM(J452:L452)</f>
        <v>0</v>
      </c>
      <c r="N452" s="302">
        <f t="shared" si="81"/>
        <v>0</v>
      </c>
    </row>
    <row r="453" spans="1:16" ht="46.5" hidden="1" customHeight="1" outlineLevel="1" thickBot="1" x14ac:dyDescent="0.3">
      <c r="A453" s="1430" t="str">
        <f t="shared" si="89"/>
        <v>HO
DPR 13.1</v>
      </c>
      <c r="B453" s="1431" t="str">
        <f t="shared" si="89"/>
        <v>Construction of new Administrative Building for Mahagenco at Vidyut Bhawan, Katol Road, Nagpur</v>
      </c>
      <c r="C453" s="1427" t="str">
        <f t="shared" si="89"/>
        <v>MERC/CAPEX/2021-2022/MSPGCL/063</v>
      </c>
      <c r="D453" s="1464">
        <f t="shared" si="89"/>
        <v>44604</v>
      </c>
      <c r="E453" s="1465">
        <f t="shared" si="89"/>
        <v>54.24</v>
      </c>
      <c r="F453" s="302">
        <f t="shared" si="77"/>
        <v>0</v>
      </c>
      <c r="G453" s="302">
        <f t="shared" si="78"/>
        <v>0</v>
      </c>
      <c r="H453" s="302">
        <f t="shared" si="79"/>
        <v>0</v>
      </c>
      <c r="I453" s="1462">
        <v>0</v>
      </c>
      <c r="J453" s="1462">
        <v>0</v>
      </c>
      <c r="K453" s="302"/>
      <c r="L453" s="302"/>
      <c r="M453" s="302">
        <f t="shared" si="90"/>
        <v>0</v>
      </c>
      <c r="N453" s="302">
        <f t="shared" si="81"/>
        <v>0</v>
      </c>
    </row>
    <row r="454" spans="1:16" ht="31" hidden="1" customHeight="1" outlineLevel="1" thickBot="1" x14ac:dyDescent="0.3">
      <c r="A454" s="1433">
        <f t="shared" si="89"/>
        <v>0</v>
      </c>
      <c r="B454" s="1431" t="str">
        <f t="shared" si="89"/>
        <v>IDC</v>
      </c>
      <c r="C454" s="1427" t="str">
        <f t="shared" si="89"/>
        <v>MERC/CAPEX/2021-2022/MSPGCL/063</v>
      </c>
      <c r="D454" s="1464">
        <f t="shared" si="89"/>
        <v>44604</v>
      </c>
      <c r="E454" s="1465">
        <f t="shared" si="89"/>
        <v>2.76</v>
      </c>
      <c r="F454" s="302">
        <f t="shared" ref="F454:F479" si="91">F359+I359</f>
        <v>0</v>
      </c>
      <c r="G454" s="302">
        <f t="shared" ref="G454:G479" si="92">G359+M359</f>
        <v>0</v>
      </c>
      <c r="H454" s="302">
        <f t="shared" ref="H454:H479" si="93">F454-G454</f>
        <v>0</v>
      </c>
      <c r="I454" s="1462">
        <v>0</v>
      </c>
      <c r="J454" s="1462">
        <v>0</v>
      </c>
      <c r="K454" s="302"/>
      <c r="L454" s="302"/>
      <c r="M454" s="302">
        <f t="shared" si="90"/>
        <v>0</v>
      </c>
      <c r="N454" s="302">
        <f t="shared" ref="N454:N479" si="94">H454+I454-M454</f>
        <v>0</v>
      </c>
    </row>
    <row r="455" spans="1:16" ht="31" hidden="1" customHeight="1" outlineLevel="1" thickBot="1" x14ac:dyDescent="0.3">
      <c r="A455" s="1424" t="str">
        <f t="shared" si="89"/>
        <v>HO
DPR 16</v>
      </c>
      <c r="B455" s="1425" t="str">
        <f t="shared" si="89"/>
        <v>Centralized Monitoring Solution</v>
      </c>
      <c r="C455" s="1460" t="str">
        <f t="shared" si="89"/>
        <v>MERC/CAPEX/MSPGCL/2023-24/0576</v>
      </c>
      <c r="D455" s="1461">
        <f t="shared" si="89"/>
        <v>45232</v>
      </c>
      <c r="E455" s="1462">
        <f t="shared" si="89"/>
        <v>69.308999999999997</v>
      </c>
      <c r="F455" s="302">
        <f t="shared" si="91"/>
        <v>0</v>
      </c>
      <c r="G455" s="302">
        <f t="shared" si="92"/>
        <v>0</v>
      </c>
      <c r="H455" s="302">
        <f t="shared" si="93"/>
        <v>0</v>
      </c>
      <c r="I455" s="1462">
        <v>0</v>
      </c>
      <c r="J455" s="1462">
        <v>0</v>
      </c>
      <c r="K455" s="302"/>
      <c r="L455" s="302"/>
      <c r="M455" s="302">
        <f t="shared" si="90"/>
        <v>0</v>
      </c>
      <c r="N455" s="302">
        <f t="shared" si="94"/>
        <v>0</v>
      </c>
    </row>
    <row r="456" spans="1:16" ht="46.5" hidden="1" customHeight="1" outlineLevel="1" thickBot="1" x14ac:dyDescent="0.3">
      <c r="A456" s="1430" t="str">
        <f t="shared" si="89"/>
        <v>HO
DPR 16.1</v>
      </c>
      <c r="B456" s="1431" t="str">
        <f t="shared" si="89"/>
        <v>Centralized Monitoring Solution</v>
      </c>
      <c r="C456" s="1427" t="str">
        <f t="shared" si="89"/>
        <v>MERC/CAPEX/MSPGCL/2023-24/0576</v>
      </c>
      <c r="D456" s="1464">
        <f t="shared" si="89"/>
        <v>45232</v>
      </c>
      <c r="E456" s="1465">
        <f t="shared" si="89"/>
        <v>66.009</v>
      </c>
      <c r="F456" s="302">
        <f t="shared" si="91"/>
        <v>0</v>
      </c>
      <c r="G456" s="302">
        <f t="shared" si="92"/>
        <v>0</v>
      </c>
      <c r="H456" s="302">
        <f t="shared" si="93"/>
        <v>0</v>
      </c>
      <c r="I456" s="1462">
        <v>0</v>
      </c>
      <c r="J456" s="1462">
        <v>0</v>
      </c>
      <c r="K456" s="302"/>
      <c r="L456" s="302"/>
      <c r="M456" s="302">
        <f t="shared" si="90"/>
        <v>0</v>
      </c>
      <c r="N456" s="302">
        <f t="shared" si="94"/>
        <v>0</v>
      </c>
    </row>
    <row r="457" spans="1:16" ht="31" hidden="1" customHeight="1" outlineLevel="1" thickBot="1" x14ac:dyDescent="0.3">
      <c r="A457" s="1433"/>
      <c r="B457" s="1431" t="str">
        <f t="shared" si="89"/>
        <v>IDC</v>
      </c>
      <c r="C457" s="1427" t="str">
        <f t="shared" si="89"/>
        <v>MERC/CAPEX/MSPGCL/2023-24/0576</v>
      </c>
      <c r="D457" s="1464">
        <f t="shared" si="89"/>
        <v>45232</v>
      </c>
      <c r="E457" s="1465">
        <f t="shared" si="89"/>
        <v>3.3</v>
      </c>
      <c r="F457" s="302">
        <f t="shared" si="91"/>
        <v>0</v>
      </c>
      <c r="G457" s="302">
        <f t="shared" si="92"/>
        <v>0</v>
      </c>
      <c r="H457" s="302">
        <f t="shared" si="93"/>
        <v>0</v>
      </c>
      <c r="I457" s="1462">
        <v>0</v>
      </c>
      <c r="J457" s="1462">
        <v>0</v>
      </c>
      <c r="K457" s="302"/>
      <c r="L457" s="302"/>
      <c r="M457" s="302">
        <f t="shared" si="90"/>
        <v>0</v>
      </c>
      <c r="N457" s="302">
        <f t="shared" si="94"/>
        <v>0</v>
      </c>
    </row>
    <row r="458" spans="1:16" ht="15.5" hidden="1" customHeight="1" outlineLevel="1" thickBot="1" x14ac:dyDescent="0.3">
      <c r="A458" s="1433"/>
      <c r="B458" s="1431">
        <f t="shared" si="89"/>
        <v>0</v>
      </c>
      <c r="C458" s="1427">
        <f t="shared" si="89"/>
        <v>0</v>
      </c>
      <c r="D458" s="1464">
        <f t="shared" si="89"/>
        <v>0</v>
      </c>
      <c r="E458" s="1465">
        <f t="shared" si="89"/>
        <v>0</v>
      </c>
      <c r="F458" s="302">
        <f t="shared" si="91"/>
        <v>0</v>
      </c>
      <c r="G458" s="302">
        <f t="shared" si="92"/>
        <v>0</v>
      </c>
      <c r="H458" s="302">
        <f t="shared" si="93"/>
        <v>0</v>
      </c>
      <c r="I458" s="1462">
        <v>0</v>
      </c>
      <c r="J458" s="1462">
        <v>0</v>
      </c>
      <c r="K458" s="302"/>
      <c r="L458" s="302"/>
      <c r="M458" s="302">
        <f t="shared" si="90"/>
        <v>0</v>
      </c>
      <c r="N458" s="302">
        <f t="shared" si="94"/>
        <v>0</v>
      </c>
    </row>
    <row r="459" spans="1:16" ht="15.5" hidden="1" customHeight="1" outlineLevel="1" thickBot="1" x14ac:dyDescent="0.3">
      <c r="A459" s="1433"/>
      <c r="B459" s="1431">
        <f t="shared" si="89"/>
        <v>0</v>
      </c>
      <c r="C459" s="1427">
        <f t="shared" si="89"/>
        <v>0</v>
      </c>
      <c r="D459" s="1464">
        <f t="shared" si="89"/>
        <v>0</v>
      </c>
      <c r="E459" s="1465">
        <f t="shared" si="89"/>
        <v>0</v>
      </c>
      <c r="F459" s="302">
        <f t="shared" si="91"/>
        <v>0</v>
      </c>
      <c r="G459" s="302">
        <f t="shared" si="92"/>
        <v>0</v>
      </c>
      <c r="H459" s="302">
        <f t="shared" si="93"/>
        <v>0</v>
      </c>
      <c r="I459" s="1462">
        <v>0</v>
      </c>
      <c r="J459" s="1462">
        <v>0</v>
      </c>
      <c r="K459" s="302"/>
      <c r="L459" s="302"/>
      <c r="M459" s="302">
        <f t="shared" si="90"/>
        <v>0</v>
      </c>
      <c r="N459" s="302">
        <f t="shared" si="94"/>
        <v>0</v>
      </c>
    </row>
    <row r="460" spans="1:16" ht="15.5" hidden="1" customHeight="1" outlineLevel="1" thickBot="1" x14ac:dyDescent="0.3">
      <c r="A460" s="1280"/>
      <c r="B460" s="1329" t="str">
        <f t="shared" si="89"/>
        <v>(ii) Submitted to MERC but yet to be approved</v>
      </c>
      <c r="C460" s="1460">
        <f t="shared" si="89"/>
        <v>0</v>
      </c>
      <c r="D460" s="1464">
        <f t="shared" si="89"/>
        <v>0</v>
      </c>
      <c r="E460" s="1465">
        <f t="shared" si="89"/>
        <v>0</v>
      </c>
      <c r="F460" s="302">
        <f t="shared" si="91"/>
        <v>0</v>
      </c>
      <c r="G460" s="302">
        <f t="shared" si="92"/>
        <v>0</v>
      </c>
      <c r="H460" s="302">
        <f t="shared" si="93"/>
        <v>0</v>
      </c>
      <c r="I460" s="1462">
        <v>0</v>
      </c>
      <c r="J460" s="1462">
        <v>0</v>
      </c>
      <c r="K460" s="302"/>
      <c r="L460" s="302"/>
      <c r="M460" s="302">
        <f t="shared" si="90"/>
        <v>0</v>
      </c>
      <c r="N460" s="302">
        <f t="shared" si="94"/>
        <v>0</v>
      </c>
    </row>
    <row r="461" spans="1:16" ht="15.5" hidden="1" customHeight="1" outlineLevel="1" thickBot="1" x14ac:dyDescent="0.3">
      <c r="A461" s="1280"/>
      <c r="B461" s="1282">
        <f t="shared" si="89"/>
        <v>0</v>
      </c>
      <c r="C461" s="1427">
        <f t="shared" si="89"/>
        <v>0</v>
      </c>
      <c r="D461" s="1464">
        <f t="shared" si="89"/>
        <v>0</v>
      </c>
      <c r="E461" s="1465">
        <f t="shared" si="89"/>
        <v>0</v>
      </c>
      <c r="F461" s="302">
        <f t="shared" si="91"/>
        <v>0</v>
      </c>
      <c r="G461" s="302">
        <f t="shared" si="92"/>
        <v>0</v>
      </c>
      <c r="H461" s="302">
        <f t="shared" si="93"/>
        <v>0</v>
      </c>
      <c r="I461" s="1462">
        <v>0</v>
      </c>
      <c r="J461" s="1462">
        <v>0</v>
      </c>
      <c r="K461" s="302"/>
      <c r="L461" s="302"/>
      <c r="M461" s="302">
        <f t="shared" si="90"/>
        <v>0</v>
      </c>
      <c r="N461" s="302">
        <f t="shared" si="94"/>
        <v>0</v>
      </c>
    </row>
    <row r="462" spans="1:16" ht="15.5" hidden="1" customHeight="1" outlineLevel="1" thickBot="1" x14ac:dyDescent="0.3">
      <c r="A462" s="1301"/>
      <c r="B462" s="1329" t="str">
        <f t="shared" ref="B462:E467" si="95">B367</f>
        <v>(iii) Yet to be submitted to MERC</v>
      </c>
      <c r="C462" s="1460">
        <f t="shared" si="95"/>
        <v>0</v>
      </c>
      <c r="D462" s="1464">
        <f t="shared" si="95"/>
        <v>0</v>
      </c>
      <c r="E462" s="1465">
        <f t="shared" si="95"/>
        <v>0</v>
      </c>
      <c r="F462" s="302">
        <f t="shared" si="91"/>
        <v>0</v>
      </c>
      <c r="G462" s="302">
        <f t="shared" si="92"/>
        <v>0</v>
      </c>
      <c r="H462" s="302">
        <f t="shared" si="93"/>
        <v>0</v>
      </c>
      <c r="I462" s="1462">
        <v>0</v>
      </c>
      <c r="J462" s="1462">
        <v>0</v>
      </c>
      <c r="K462" s="302"/>
      <c r="L462" s="302"/>
      <c r="M462" s="302">
        <f t="shared" si="90"/>
        <v>0</v>
      </c>
      <c r="N462" s="302">
        <f t="shared" si="94"/>
        <v>0</v>
      </c>
    </row>
    <row r="463" spans="1:16" ht="18" hidden="1" customHeight="1" outlineLevel="1" thickBot="1" x14ac:dyDescent="0.3">
      <c r="A463" s="1304"/>
      <c r="B463" s="1305" t="str">
        <f t="shared" si="95"/>
        <v>FY 2026-27</v>
      </c>
      <c r="C463" s="1460">
        <f t="shared" si="95"/>
        <v>0</v>
      </c>
      <c r="D463" s="1464">
        <f t="shared" si="95"/>
        <v>0</v>
      </c>
      <c r="E463" s="1465">
        <f t="shared" si="95"/>
        <v>0</v>
      </c>
      <c r="F463" s="302">
        <f t="shared" si="91"/>
        <v>0</v>
      </c>
      <c r="G463" s="302">
        <f t="shared" si="92"/>
        <v>0</v>
      </c>
      <c r="H463" s="302">
        <f t="shared" si="93"/>
        <v>0</v>
      </c>
      <c r="I463" s="1462">
        <v>0</v>
      </c>
      <c r="J463" s="1462">
        <v>0</v>
      </c>
      <c r="K463" s="302"/>
      <c r="L463" s="302"/>
      <c r="M463" s="302">
        <f t="shared" si="90"/>
        <v>0</v>
      </c>
      <c r="N463" s="302">
        <f t="shared" si="94"/>
        <v>0</v>
      </c>
    </row>
    <row r="464" spans="1:16" ht="31" hidden="1" customHeight="1" outlineLevel="1" thickBot="1" x14ac:dyDescent="0.3">
      <c r="A464" s="1308">
        <f>A369</f>
        <v>1</v>
      </c>
      <c r="B464" s="1425" t="str">
        <f t="shared" si="95"/>
        <v>R&amp;M/LE for Identified Thermal units of MSPGCL  of BTPS U-3 (210 MW)</v>
      </c>
      <c r="C464" s="1460">
        <f t="shared" si="95"/>
        <v>0</v>
      </c>
      <c r="D464" s="1464">
        <f t="shared" si="95"/>
        <v>0</v>
      </c>
      <c r="E464" s="1465">
        <f t="shared" si="95"/>
        <v>0</v>
      </c>
      <c r="F464" s="302">
        <f t="shared" si="91"/>
        <v>0</v>
      </c>
      <c r="G464" s="302">
        <f t="shared" si="92"/>
        <v>0</v>
      </c>
      <c r="H464" s="302">
        <f t="shared" si="93"/>
        <v>0</v>
      </c>
      <c r="I464" s="1462">
        <v>0</v>
      </c>
      <c r="J464" s="1462">
        <v>0</v>
      </c>
      <c r="K464" s="302"/>
      <c r="L464" s="302"/>
      <c r="M464" s="302">
        <f t="shared" si="90"/>
        <v>0</v>
      </c>
      <c r="N464" s="302">
        <f t="shared" si="94"/>
        <v>0</v>
      </c>
    </row>
    <row r="465" spans="1:14" ht="31" hidden="1" customHeight="1" outlineLevel="1" thickBot="1" x14ac:dyDescent="0.3">
      <c r="A465" s="1313">
        <f>A370</f>
        <v>1.1000000000000001</v>
      </c>
      <c r="B465" s="1431" t="str">
        <f t="shared" si="95"/>
        <v>R&amp;M/LE for Identified Thermal units of MSPGCL  of BTPS U-3 (210 MW)</v>
      </c>
      <c r="C465" s="1460">
        <f t="shared" si="95"/>
        <v>0</v>
      </c>
      <c r="D465" s="1464">
        <f t="shared" si="95"/>
        <v>0</v>
      </c>
      <c r="E465" s="1465">
        <f t="shared" si="95"/>
        <v>0</v>
      </c>
      <c r="F465" s="302">
        <f t="shared" si="91"/>
        <v>0</v>
      </c>
      <c r="G465" s="302">
        <f t="shared" si="92"/>
        <v>0</v>
      </c>
      <c r="H465" s="302">
        <f t="shared" si="93"/>
        <v>0</v>
      </c>
      <c r="I465" s="1462">
        <v>398</v>
      </c>
      <c r="J465" s="1462">
        <v>398</v>
      </c>
      <c r="K465" s="302"/>
      <c r="L465" s="302"/>
      <c r="M465" s="302">
        <f t="shared" si="90"/>
        <v>398</v>
      </c>
      <c r="N465" s="302">
        <f t="shared" si="94"/>
        <v>0</v>
      </c>
    </row>
    <row r="466" spans="1:14" ht="15.5" hidden="1" customHeight="1" outlineLevel="1" thickBot="1" x14ac:dyDescent="0.35">
      <c r="A466" s="1301"/>
      <c r="B466" s="265">
        <f t="shared" si="95"/>
        <v>0</v>
      </c>
      <c r="C466" s="1460">
        <f t="shared" si="95"/>
        <v>0</v>
      </c>
      <c r="D466" s="1464">
        <f t="shared" si="95"/>
        <v>0</v>
      </c>
      <c r="E466" s="1465">
        <f t="shared" si="95"/>
        <v>0</v>
      </c>
      <c r="F466" s="302">
        <f t="shared" si="91"/>
        <v>0</v>
      </c>
      <c r="G466" s="302">
        <f t="shared" si="92"/>
        <v>0</v>
      </c>
      <c r="H466" s="302">
        <f t="shared" si="93"/>
        <v>0</v>
      </c>
      <c r="I466" s="1462">
        <v>0</v>
      </c>
      <c r="J466" s="1462">
        <v>0</v>
      </c>
      <c r="K466" s="302"/>
      <c r="L466" s="302"/>
      <c r="M466" s="302">
        <f t="shared" si="90"/>
        <v>0</v>
      </c>
      <c r="N466" s="302">
        <f t="shared" si="94"/>
        <v>0</v>
      </c>
    </row>
    <row r="467" spans="1:14" ht="15.5" hidden="1" customHeight="1" outlineLevel="1" thickBot="1" x14ac:dyDescent="0.35">
      <c r="A467" s="1301"/>
      <c r="B467" s="528" t="str">
        <f t="shared" si="95"/>
        <v>B) Non-DPR Schemes</v>
      </c>
      <c r="C467" s="1427">
        <f t="shared" si="95"/>
        <v>0</v>
      </c>
      <c r="D467" s="1464">
        <f t="shared" si="95"/>
        <v>0</v>
      </c>
      <c r="E467" s="1465">
        <f t="shared" si="95"/>
        <v>0</v>
      </c>
      <c r="F467" s="315">
        <f t="shared" si="91"/>
        <v>0</v>
      </c>
      <c r="G467" s="315">
        <f t="shared" si="92"/>
        <v>0</v>
      </c>
      <c r="H467" s="315">
        <f t="shared" si="93"/>
        <v>0</v>
      </c>
      <c r="I467" s="1462">
        <v>0</v>
      </c>
      <c r="J467" s="1462">
        <v>0</v>
      </c>
      <c r="K467" s="315"/>
      <c r="L467" s="315"/>
      <c r="M467" s="315">
        <f t="shared" si="90"/>
        <v>0</v>
      </c>
      <c r="N467" s="315">
        <f t="shared" si="94"/>
        <v>0</v>
      </c>
    </row>
    <row r="468" spans="1:14" ht="28" hidden="1" customHeight="1" outlineLevel="1" thickBot="1" x14ac:dyDescent="0.35">
      <c r="A468" s="1301">
        <f t="shared" ref="A468:E479" si="96">A373</f>
        <v>1</v>
      </c>
      <c r="B468" s="1315" t="str">
        <f t="shared" si="96"/>
        <v>Design, Supply and Installation for capacity enhancement of conveyor No. 08 at CHP210MW, BTPS.</v>
      </c>
      <c r="C468" s="1427">
        <f t="shared" si="96"/>
        <v>0</v>
      </c>
      <c r="D468" s="1464">
        <f t="shared" si="96"/>
        <v>0</v>
      </c>
      <c r="E468" s="1465">
        <f t="shared" si="96"/>
        <v>0</v>
      </c>
      <c r="F468" s="315">
        <f t="shared" si="91"/>
        <v>1.80009</v>
      </c>
      <c r="G468" s="315">
        <f t="shared" si="92"/>
        <v>1.80009</v>
      </c>
      <c r="H468" s="315">
        <f t="shared" si="93"/>
        <v>0</v>
      </c>
      <c r="I468" s="1462">
        <v>0</v>
      </c>
      <c r="J468" s="1462">
        <v>0</v>
      </c>
      <c r="K468" s="315"/>
      <c r="L468" s="315"/>
      <c r="M468" s="315">
        <f t="shared" si="90"/>
        <v>0</v>
      </c>
      <c r="N468" s="315">
        <f t="shared" si="94"/>
        <v>0</v>
      </c>
    </row>
    <row r="469" spans="1:14" ht="15.5" hidden="1" customHeight="1" outlineLevel="1" thickBot="1" x14ac:dyDescent="0.35">
      <c r="A469" s="1301">
        <f t="shared" si="96"/>
        <v>2</v>
      </c>
      <c r="B469" s="265" t="str">
        <f t="shared" si="96"/>
        <v>SPEAKER &amp; PTZ CAMER</v>
      </c>
      <c r="C469" s="1427">
        <f t="shared" si="96"/>
        <v>0</v>
      </c>
      <c r="D469" s="1464">
        <f t="shared" si="96"/>
        <v>0</v>
      </c>
      <c r="E469" s="1465">
        <f t="shared" si="96"/>
        <v>0</v>
      </c>
      <c r="F469" s="315">
        <f t="shared" si="91"/>
        <v>3.1968099999999999E-2</v>
      </c>
      <c r="G469" s="315">
        <f t="shared" si="92"/>
        <v>3.1968099999999999E-2</v>
      </c>
      <c r="H469" s="315">
        <f t="shared" si="93"/>
        <v>0</v>
      </c>
      <c r="I469" s="1462">
        <v>0</v>
      </c>
      <c r="J469" s="1462">
        <v>0</v>
      </c>
      <c r="K469" s="315"/>
      <c r="L469" s="315"/>
      <c r="M469" s="315">
        <f t="shared" si="90"/>
        <v>0</v>
      </c>
      <c r="N469" s="315">
        <f t="shared" si="94"/>
        <v>0</v>
      </c>
    </row>
    <row r="470" spans="1:14" ht="15.5" hidden="1" customHeight="1" outlineLevel="1" thickBot="1" x14ac:dyDescent="0.35">
      <c r="A470" s="1301">
        <f t="shared" si="96"/>
        <v>3</v>
      </c>
      <c r="B470" s="265" t="str">
        <f t="shared" si="96"/>
        <v>50 INCH TV &amp; 2TN AC</v>
      </c>
      <c r="C470" s="1427">
        <f t="shared" si="96"/>
        <v>0</v>
      </c>
      <c r="D470" s="1464">
        <f t="shared" si="96"/>
        <v>0</v>
      </c>
      <c r="E470" s="1465">
        <f t="shared" si="96"/>
        <v>0</v>
      </c>
      <c r="F470" s="315">
        <f t="shared" si="91"/>
        <v>6.4529699999999995E-2</v>
      </c>
      <c r="G470" s="315">
        <f t="shared" si="92"/>
        <v>6.4529699999999995E-2</v>
      </c>
      <c r="H470" s="315">
        <f t="shared" si="93"/>
        <v>0</v>
      </c>
      <c r="I470" s="1462">
        <v>0</v>
      </c>
      <c r="J470" s="1462">
        <v>0</v>
      </c>
      <c r="K470" s="315"/>
      <c r="L470" s="315"/>
      <c r="M470" s="315">
        <f t="shared" si="90"/>
        <v>0</v>
      </c>
      <c r="N470" s="315">
        <f t="shared" si="94"/>
        <v>0</v>
      </c>
    </row>
    <row r="471" spans="1:14" ht="15.5" hidden="1" customHeight="1" outlineLevel="1" thickBot="1" x14ac:dyDescent="0.35">
      <c r="A471" s="1301">
        <f t="shared" si="96"/>
        <v>4</v>
      </c>
      <c r="B471" s="817" t="str">
        <f t="shared" si="96"/>
        <v>Fixtures &amp; Fitting (10801)</v>
      </c>
      <c r="C471" s="1427">
        <f t="shared" si="96"/>
        <v>0</v>
      </c>
      <c r="D471" s="1464">
        <f t="shared" si="96"/>
        <v>0</v>
      </c>
      <c r="E471" s="1465">
        <f t="shared" si="96"/>
        <v>0</v>
      </c>
      <c r="F471" s="315">
        <f t="shared" si="91"/>
        <v>2.2089600000000001E-2</v>
      </c>
      <c r="G471" s="315">
        <f t="shared" si="92"/>
        <v>2.2089600000000001E-2</v>
      </c>
      <c r="H471" s="315">
        <f t="shared" si="93"/>
        <v>0</v>
      </c>
      <c r="I471" s="1462">
        <v>0</v>
      </c>
      <c r="J471" s="1462">
        <v>0</v>
      </c>
      <c r="K471" s="315"/>
      <c r="L471" s="315"/>
      <c r="M471" s="315">
        <f t="shared" si="90"/>
        <v>0</v>
      </c>
      <c r="N471" s="315">
        <f t="shared" si="94"/>
        <v>0</v>
      </c>
    </row>
    <row r="472" spans="1:14" ht="15.5" hidden="1" customHeight="1" outlineLevel="1" thickBot="1" x14ac:dyDescent="0.35">
      <c r="A472" s="1301">
        <f t="shared" si="96"/>
        <v>5</v>
      </c>
      <c r="B472" s="817" t="str">
        <f t="shared" si="96"/>
        <v>Office equpment (10901)</v>
      </c>
      <c r="C472" s="1427">
        <f t="shared" si="96"/>
        <v>0</v>
      </c>
      <c r="D472" s="1464">
        <f t="shared" si="96"/>
        <v>0</v>
      </c>
      <c r="E472" s="1465">
        <f t="shared" si="96"/>
        <v>0</v>
      </c>
      <c r="F472" s="315">
        <f t="shared" si="91"/>
        <v>0.60696666700000002</v>
      </c>
      <c r="G472" s="315">
        <f t="shared" si="92"/>
        <v>0.60696666700000002</v>
      </c>
      <c r="H472" s="315">
        <f t="shared" si="93"/>
        <v>0</v>
      </c>
      <c r="I472" s="1462">
        <v>0</v>
      </c>
      <c r="J472" s="1462">
        <v>0</v>
      </c>
      <c r="K472" s="315"/>
      <c r="L472" s="315"/>
      <c r="M472" s="315">
        <f t="shared" si="90"/>
        <v>0</v>
      </c>
      <c r="N472" s="315">
        <f t="shared" si="94"/>
        <v>0</v>
      </c>
    </row>
    <row r="473" spans="1:14" ht="15.5" hidden="1" customHeight="1" outlineLevel="1" thickBot="1" x14ac:dyDescent="0.35">
      <c r="A473" s="1301">
        <f t="shared" si="96"/>
        <v>6</v>
      </c>
      <c r="B473" s="265" t="str">
        <f t="shared" si="96"/>
        <v>Gearboxes for CHP Elecon Make</v>
      </c>
      <c r="C473" s="1427">
        <f t="shared" si="96"/>
        <v>0</v>
      </c>
      <c r="D473" s="1464">
        <f t="shared" si="96"/>
        <v>0</v>
      </c>
      <c r="E473" s="1465">
        <f t="shared" si="96"/>
        <v>0</v>
      </c>
      <c r="F473" s="315">
        <f t="shared" si="91"/>
        <v>0.345735079</v>
      </c>
      <c r="G473" s="315">
        <f t="shared" si="92"/>
        <v>0.345735079</v>
      </c>
      <c r="H473" s="315">
        <f t="shared" si="93"/>
        <v>0</v>
      </c>
      <c r="I473" s="1462">
        <v>0</v>
      </c>
      <c r="J473" s="1462">
        <v>0</v>
      </c>
      <c r="K473" s="315"/>
      <c r="L473" s="315"/>
      <c r="M473" s="315">
        <f t="shared" si="90"/>
        <v>0</v>
      </c>
      <c r="N473" s="315">
        <f t="shared" si="94"/>
        <v>0</v>
      </c>
    </row>
    <row r="474" spans="1:14" ht="15.5" hidden="1" customHeight="1" outlineLevel="1" thickBot="1" x14ac:dyDescent="0.4">
      <c r="A474" s="1301">
        <f t="shared" si="96"/>
        <v>7</v>
      </c>
      <c r="B474" s="1319" t="str">
        <f t="shared" si="96"/>
        <v>General Assets</v>
      </c>
      <c r="C474" s="1427">
        <f t="shared" si="96"/>
        <v>0</v>
      </c>
      <c r="D474" s="1464">
        <f t="shared" si="96"/>
        <v>0</v>
      </c>
      <c r="E474" s="1465">
        <f t="shared" si="96"/>
        <v>0</v>
      </c>
      <c r="F474" s="315">
        <f t="shared" si="91"/>
        <v>0</v>
      </c>
      <c r="G474" s="315">
        <f t="shared" si="92"/>
        <v>0</v>
      </c>
      <c r="H474" s="315">
        <f t="shared" si="93"/>
        <v>0</v>
      </c>
      <c r="I474" s="1462">
        <v>0</v>
      </c>
      <c r="J474" s="1462">
        <v>0</v>
      </c>
      <c r="K474" s="315"/>
      <c r="L474" s="315"/>
      <c r="M474" s="315">
        <f t="shared" si="90"/>
        <v>0</v>
      </c>
      <c r="N474" s="315">
        <f t="shared" si="94"/>
        <v>0</v>
      </c>
    </row>
    <row r="475" spans="1:14" ht="15.5" hidden="1" customHeight="1" outlineLevel="1" thickBot="1" x14ac:dyDescent="0.4">
      <c r="A475" s="1301">
        <f t="shared" si="96"/>
        <v>8</v>
      </c>
      <c r="B475" s="1319" t="str">
        <f t="shared" si="96"/>
        <v>Furniture &amp; Fixture</v>
      </c>
      <c r="C475" s="1427">
        <f t="shared" si="96"/>
        <v>0</v>
      </c>
      <c r="D475" s="1464">
        <f t="shared" si="96"/>
        <v>0</v>
      </c>
      <c r="E475" s="1465">
        <f t="shared" si="96"/>
        <v>0</v>
      </c>
      <c r="F475" s="315">
        <f t="shared" si="91"/>
        <v>3.4999940000000002E-3</v>
      </c>
      <c r="G475" s="315">
        <f t="shared" si="92"/>
        <v>9.3499994000000003E-2</v>
      </c>
      <c r="H475" s="315">
        <f t="shared" si="93"/>
        <v>-0.09</v>
      </c>
      <c r="I475" s="1462">
        <v>0</v>
      </c>
      <c r="J475" s="1462">
        <v>0</v>
      </c>
      <c r="K475" s="315"/>
      <c r="L475" s="315"/>
      <c r="M475" s="315">
        <f t="shared" si="90"/>
        <v>0</v>
      </c>
      <c r="N475" s="315">
        <f t="shared" si="94"/>
        <v>-0.09</v>
      </c>
    </row>
    <row r="476" spans="1:14" ht="15.5" hidden="1" customHeight="1" outlineLevel="1" thickBot="1" x14ac:dyDescent="0.4">
      <c r="A476" s="1301">
        <f t="shared" si="96"/>
        <v>9</v>
      </c>
      <c r="B476" s="1319" t="str">
        <f t="shared" si="96"/>
        <v xml:space="preserve">Office Equipment </v>
      </c>
      <c r="C476" s="1427">
        <f t="shared" si="96"/>
        <v>0</v>
      </c>
      <c r="D476" s="1464">
        <f t="shared" si="96"/>
        <v>0</v>
      </c>
      <c r="E476" s="1465">
        <f t="shared" si="96"/>
        <v>0</v>
      </c>
      <c r="F476" s="315">
        <f t="shared" si="91"/>
        <v>0.258863014</v>
      </c>
      <c r="G476" s="315">
        <f t="shared" si="92"/>
        <v>0.258863014</v>
      </c>
      <c r="H476" s="315">
        <f t="shared" si="93"/>
        <v>0</v>
      </c>
      <c r="I476" s="1462">
        <v>0</v>
      </c>
      <c r="J476" s="1462">
        <v>0</v>
      </c>
      <c r="K476" s="315"/>
      <c r="L476" s="315"/>
      <c r="M476" s="315">
        <f t="shared" si="90"/>
        <v>0</v>
      </c>
      <c r="N476" s="315">
        <f t="shared" si="94"/>
        <v>0</v>
      </c>
    </row>
    <row r="477" spans="1:14" ht="15.5" hidden="1" customHeight="1" outlineLevel="1" thickBot="1" x14ac:dyDescent="0.4">
      <c r="A477" s="1301">
        <f t="shared" si="96"/>
        <v>10</v>
      </c>
      <c r="B477" s="1319" t="str">
        <f t="shared" si="96"/>
        <v>Furniture &amp; Fixture</v>
      </c>
      <c r="C477" s="1427">
        <f t="shared" si="96"/>
        <v>0</v>
      </c>
      <c r="D477" s="1464">
        <f t="shared" si="96"/>
        <v>0</v>
      </c>
      <c r="E477" s="1465">
        <f t="shared" si="96"/>
        <v>0</v>
      </c>
      <c r="F477" s="315">
        <f t="shared" si="91"/>
        <v>0.20719743600000001</v>
      </c>
      <c r="G477" s="315">
        <f t="shared" si="92"/>
        <v>0.20719743600000001</v>
      </c>
      <c r="H477" s="315">
        <f t="shared" si="93"/>
        <v>0</v>
      </c>
      <c r="I477" s="1462">
        <v>0</v>
      </c>
      <c r="J477" s="1462">
        <v>0</v>
      </c>
      <c r="K477" s="315"/>
      <c r="L477" s="315"/>
      <c r="M477" s="315">
        <f t="shared" si="90"/>
        <v>0</v>
      </c>
      <c r="N477" s="315">
        <f t="shared" si="94"/>
        <v>0</v>
      </c>
    </row>
    <row r="478" spans="1:14" s="1334" customFormat="1" ht="15.5" hidden="1" customHeight="1" outlineLevel="1" thickBot="1" x14ac:dyDescent="0.4">
      <c r="A478" s="1301">
        <f t="shared" si="96"/>
        <v>11</v>
      </c>
      <c r="B478" s="1319" t="str">
        <f t="shared" si="96"/>
        <v xml:space="preserve">Office Equipment </v>
      </c>
      <c r="C478" s="1427">
        <f t="shared" si="96"/>
        <v>0</v>
      </c>
      <c r="D478" s="1464">
        <f t="shared" si="96"/>
        <v>0</v>
      </c>
      <c r="E478" s="1465">
        <f t="shared" si="96"/>
        <v>0</v>
      </c>
      <c r="F478" s="315">
        <f t="shared" si="91"/>
        <v>6.3896999999999999E-3</v>
      </c>
      <c r="G478" s="315">
        <f t="shared" si="92"/>
        <v>6.3896999999999999E-3</v>
      </c>
      <c r="H478" s="315">
        <f t="shared" si="93"/>
        <v>0</v>
      </c>
      <c r="I478" s="1462">
        <v>0</v>
      </c>
      <c r="J478" s="1462">
        <v>0</v>
      </c>
      <c r="K478" s="315"/>
      <c r="L478" s="315"/>
      <c r="M478" s="315">
        <f t="shared" si="90"/>
        <v>0</v>
      </c>
      <c r="N478" s="315">
        <f t="shared" si="94"/>
        <v>0</v>
      </c>
    </row>
    <row r="479" spans="1:14" s="1334" customFormat="1" ht="16" hidden="1" outlineLevel="1" thickBot="1" x14ac:dyDescent="0.4">
      <c r="A479" s="1301">
        <f t="shared" si="96"/>
        <v>12</v>
      </c>
      <c r="B479" s="1319" t="str">
        <f t="shared" si="96"/>
        <v>Land</v>
      </c>
      <c r="C479" s="1427">
        <f t="shared" si="96"/>
        <v>0</v>
      </c>
      <c r="D479" s="1464">
        <f t="shared" si="96"/>
        <v>0</v>
      </c>
      <c r="E479" s="1465">
        <f t="shared" si="96"/>
        <v>0</v>
      </c>
      <c r="F479" s="315">
        <f t="shared" si="91"/>
        <v>0</v>
      </c>
      <c r="G479" s="315">
        <f t="shared" si="92"/>
        <v>0.19434199999999999</v>
      </c>
      <c r="H479" s="315">
        <f t="shared" si="93"/>
        <v>-0.19434199999999999</v>
      </c>
      <c r="I479" s="1462">
        <v>0</v>
      </c>
      <c r="J479" s="1462">
        <v>0</v>
      </c>
      <c r="K479" s="315"/>
      <c r="L479" s="315"/>
      <c r="M479" s="315">
        <f t="shared" si="90"/>
        <v>0</v>
      </c>
      <c r="N479" s="315">
        <f t="shared" si="94"/>
        <v>-0.19434199999999999</v>
      </c>
    </row>
    <row r="480" spans="1:14" ht="15.5" collapsed="1" thickBot="1" x14ac:dyDescent="0.3">
      <c r="A480" s="1330"/>
      <c r="B480" s="1331" t="str">
        <f>B385</f>
        <v>Total</v>
      </c>
      <c r="C480" s="1332"/>
      <c r="D480" s="1333"/>
      <c r="E480" s="1466"/>
      <c r="F480" s="1466">
        <f>SUM(F390:F479)</f>
        <v>62.372835094641879</v>
      </c>
      <c r="G480" s="1466">
        <f t="shared" ref="G480:N480" si="97">SUM(G390:G479)</f>
        <v>62.657177094641874</v>
      </c>
      <c r="H480" s="1466">
        <f t="shared" si="97"/>
        <v>-0.28434199999999998</v>
      </c>
      <c r="I480" s="1466">
        <f t="shared" si="97"/>
        <v>398</v>
      </c>
      <c r="J480" s="1466">
        <f t="shared" si="97"/>
        <v>398</v>
      </c>
      <c r="K480" s="1466">
        <f t="shared" si="97"/>
        <v>0</v>
      </c>
      <c r="L480" s="1466">
        <f t="shared" si="97"/>
        <v>0</v>
      </c>
      <c r="M480" s="1466">
        <f t="shared" si="97"/>
        <v>398</v>
      </c>
      <c r="N480" s="1466">
        <f t="shared" si="97"/>
        <v>-0.28434199999999998</v>
      </c>
    </row>
    <row r="482" spans="1:16" ht="14.5" thickBot="1" x14ac:dyDescent="0.3">
      <c r="A482" s="1445"/>
      <c r="B482" s="543" t="s">
        <v>1069</v>
      </c>
      <c r="C482" s="1446"/>
      <c r="D482" s="1447"/>
      <c r="E482" s="315"/>
      <c r="F482" s="315"/>
      <c r="G482" s="315"/>
      <c r="H482" s="315"/>
      <c r="I482" s="315"/>
      <c r="J482" s="315"/>
      <c r="K482" s="315"/>
      <c r="L482" s="315"/>
      <c r="M482" s="315"/>
      <c r="N482" s="315"/>
    </row>
    <row r="483" spans="1:16" ht="15" hidden="1" customHeight="1" outlineLevel="1" thickBot="1" x14ac:dyDescent="0.35">
      <c r="A483" s="1280"/>
      <c r="B483" s="1327" t="str">
        <f t="shared" ref="B483:E489" si="98">B388</f>
        <v>a) DPR Schemes</v>
      </c>
      <c r="C483" s="1446"/>
      <c r="D483" s="1447"/>
      <c r="E483" s="315"/>
      <c r="F483" s="315"/>
      <c r="G483" s="315"/>
      <c r="H483" s="315"/>
      <c r="I483" s="315"/>
      <c r="J483" s="315"/>
      <c r="K483" s="315"/>
      <c r="L483" s="315"/>
      <c r="M483" s="315"/>
      <c r="N483" s="315"/>
    </row>
    <row r="484" spans="1:16" ht="14" hidden="1" customHeight="1" outlineLevel="1" thickBot="1" x14ac:dyDescent="0.3">
      <c r="A484" s="1280"/>
      <c r="B484" s="1282" t="str">
        <f t="shared" si="98"/>
        <v>(i) In-principle approved by MERC</v>
      </c>
      <c r="C484" s="1449"/>
      <c r="D484" s="1450"/>
      <c r="E484" s="315"/>
      <c r="F484" s="315"/>
      <c r="G484" s="315"/>
      <c r="H484" s="315"/>
      <c r="I484" s="315"/>
      <c r="J484" s="315"/>
      <c r="K484" s="315"/>
      <c r="L484" s="315"/>
      <c r="M484" s="315"/>
      <c r="N484" s="315"/>
    </row>
    <row r="485" spans="1:16" ht="31" hidden="1" customHeight="1" outlineLevel="1" thickBot="1" x14ac:dyDescent="0.3">
      <c r="A485" s="1406">
        <f>A390</f>
        <v>1</v>
      </c>
      <c r="B485" s="1407" t="str">
        <f t="shared" si="98"/>
        <v>Replacement of economizer &amp; LTSH coils at Unit # 2</v>
      </c>
      <c r="C485" s="1406" t="str">
        <f t="shared" si="98"/>
        <v>MERC/CAPEX/20122013/00179</v>
      </c>
      <c r="D485" s="1451">
        <f t="shared" si="98"/>
        <v>41022</v>
      </c>
      <c r="E485" s="1452">
        <f t="shared" si="98"/>
        <v>10.177999999999999</v>
      </c>
      <c r="F485" s="1452">
        <f t="shared" ref="F485:F548" si="99">F390+I390</f>
        <v>0</v>
      </c>
      <c r="G485" s="1452">
        <f t="shared" ref="G485:G548" si="100">G390+M390</f>
        <v>0</v>
      </c>
      <c r="H485" s="1452">
        <f t="shared" ref="H485:H548" si="101">F485-G485</f>
        <v>0</v>
      </c>
      <c r="I485" s="1452">
        <v>0</v>
      </c>
      <c r="J485" s="1452">
        <v>0</v>
      </c>
      <c r="K485" s="1452"/>
      <c r="L485" s="1452"/>
      <c r="M485" s="1452">
        <f t="shared" ref="M485" si="102">SUM(J485:L485)</f>
        <v>0</v>
      </c>
      <c r="N485" s="1452">
        <f t="shared" ref="N485:N548" si="103">H485+I485-M485</f>
        <v>0</v>
      </c>
      <c r="O485" s="1453">
        <f t="shared" ref="O485:O546" si="104">MAX(0,IF(M485=0,0,IF(G485+M485&lt;E485,M485,E485-G485)))</f>
        <v>0</v>
      </c>
      <c r="P485" s="1328">
        <f t="shared" ref="P485:P546" si="105">M485-O485</f>
        <v>0</v>
      </c>
    </row>
    <row r="486" spans="1:16" ht="15.5" hidden="1" customHeight="1" outlineLevel="1" thickBot="1" x14ac:dyDescent="0.3">
      <c r="A486" s="1411">
        <f>A391</f>
        <v>1.1000000000000001</v>
      </c>
      <c r="B486" s="1412" t="str">
        <f t="shared" si="98"/>
        <v>Replacement of Economiser Coil</v>
      </c>
      <c r="C486" s="1411" t="str">
        <f t="shared" si="98"/>
        <v>MERC/CAPEX/20122013/00179</v>
      </c>
      <c r="D486" s="1454">
        <f t="shared" si="98"/>
        <v>41022</v>
      </c>
      <c r="E486" s="1414">
        <f t="shared" si="98"/>
        <v>3.524</v>
      </c>
      <c r="F486" s="1452">
        <f t="shared" si="99"/>
        <v>3.47</v>
      </c>
      <c r="G486" s="1452">
        <f t="shared" si="100"/>
        <v>3.47</v>
      </c>
      <c r="H486" s="1452">
        <f t="shared" si="101"/>
        <v>0</v>
      </c>
      <c r="I486" s="1452">
        <v>0</v>
      </c>
      <c r="J486" s="1452">
        <v>0</v>
      </c>
      <c r="K486" s="1414"/>
      <c r="L486" s="1414"/>
      <c r="M486" s="1414">
        <f t="shared" ref="M486:M546" si="106">SUM(J486:L486)</f>
        <v>0</v>
      </c>
      <c r="N486" s="1414">
        <f t="shared" si="103"/>
        <v>0</v>
      </c>
      <c r="O486" s="1453">
        <f t="shared" si="104"/>
        <v>0</v>
      </c>
      <c r="P486" s="1328">
        <f t="shared" si="105"/>
        <v>0</v>
      </c>
    </row>
    <row r="487" spans="1:16" ht="15.5" hidden="1" customHeight="1" outlineLevel="1" thickBot="1" x14ac:dyDescent="0.3">
      <c r="A487" s="1411"/>
      <c r="B487" s="1412" t="str">
        <f t="shared" si="98"/>
        <v>IDC</v>
      </c>
      <c r="C487" s="1411" t="str">
        <f t="shared" si="98"/>
        <v>MERC/CAPEX/20122013/00179</v>
      </c>
      <c r="D487" s="1454">
        <f t="shared" si="98"/>
        <v>41022</v>
      </c>
      <c r="E487" s="1414">
        <f t="shared" si="98"/>
        <v>0.20300000000000001</v>
      </c>
      <c r="F487" s="1452">
        <f t="shared" si="99"/>
        <v>0</v>
      </c>
      <c r="G487" s="1452">
        <f t="shared" si="100"/>
        <v>0</v>
      </c>
      <c r="H487" s="1452">
        <f t="shared" si="101"/>
        <v>0</v>
      </c>
      <c r="I487" s="1452">
        <v>0</v>
      </c>
      <c r="J487" s="1452">
        <v>0</v>
      </c>
      <c r="K487" s="1414"/>
      <c r="L487" s="1414"/>
      <c r="M487" s="1414">
        <f t="shared" si="106"/>
        <v>0</v>
      </c>
      <c r="N487" s="1414">
        <f t="shared" si="103"/>
        <v>0</v>
      </c>
      <c r="O487" s="1453">
        <f t="shared" si="104"/>
        <v>0</v>
      </c>
      <c r="P487" s="1328">
        <f t="shared" si="105"/>
        <v>0</v>
      </c>
    </row>
    <row r="488" spans="1:16" ht="15.5" hidden="1" customHeight="1" outlineLevel="1" thickBot="1" x14ac:dyDescent="0.3">
      <c r="A488" s="1411">
        <f>A393</f>
        <v>1.2</v>
      </c>
      <c r="B488" s="1412" t="str">
        <f t="shared" si="98"/>
        <v>Replacement of LTSH Coil</v>
      </c>
      <c r="C488" s="1411" t="str">
        <f t="shared" si="98"/>
        <v>MERC/CAPEX/20122013/00179</v>
      </c>
      <c r="D488" s="1454">
        <f t="shared" si="98"/>
        <v>41022</v>
      </c>
      <c r="E488" s="1414">
        <f t="shared" si="98"/>
        <v>6.0940000000000003</v>
      </c>
      <c r="F488" s="1452">
        <f t="shared" si="99"/>
        <v>5.32</v>
      </c>
      <c r="G488" s="1452">
        <f t="shared" si="100"/>
        <v>5.32</v>
      </c>
      <c r="H488" s="1452">
        <f t="shared" si="101"/>
        <v>0</v>
      </c>
      <c r="I488" s="1452">
        <v>0</v>
      </c>
      <c r="J488" s="1452">
        <v>0</v>
      </c>
      <c r="K488" s="1414"/>
      <c r="L488" s="1414"/>
      <c r="M488" s="1414">
        <f t="shared" si="106"/>
        <v>0</v>
      </c>
      <c r="N488" s="1414">
        <f t="shared" si="103"/>
        <v>0</v>
      </c>
      <c r="O488" s="1453">
        <f t="shared" si="104"/>
        <v>0</v>
      </c>
      <c r="P488" s="1328">
        <f t="shared" si="105"/>
        <v>0</v>
      </c>
    </row>
    <row r="489" spans="1:16" ht="15.5" hidden="1" customHeight="1" outlineLevel="1" thickBot="1" x14ac:dyDescent="0.3">
      <c r="A489" s="1411"/>
      <c r="B489" s="1412" t="str">
        <f t="shared" si="98"/>
        <v>IDC</v>
      </c>
      <c r="C489" s="1411" t="str">
        <f t="shared" si="98"/>
        <v>MERC/CAPEX/20122013/00179</v>
      </c>
      <c r="D489" s="1454">
        <f t="shared" si="98"/>
        <v>41022</v>
      </c>
      <c r="E489" s="1414">
        <f t="shared" si="98"/>
        <v>0.35699999999999998</v>
      </c>
      <c r="F489" s="1452">
        <f t="shared" si="99"/>
        <v>0</v>
      </c>
      <c r="G489" s="1452">
        <f t="shared" si="100"/>
        <v>0</v>
      </c>
      <c r="H489" s="1452">
        <f t="shared" si="101"/>
        <v>0</v>
      </c>
      <c r="I489" s="1452">
        <v>0</v>
      </c>
      <c r="J489" s="1452">
        <v>0</v>
      </c>
      <c r="K489" s="1414"/>
      <c r="L489" s="1414"/>
      <c r="M489" s="1414">
        <f t="shared" si="106"/>
        <v>0</v>
      </c>
      <c r="N489" s="1414">
        <f t="shared" si="103"/>
        <v>0</v>
      </c>
      <c r="O489" s="1453">
        <f t="shared" si="104"/>
        <v>0</v>
      </c>
      <c r="P489" s="1328">
        <f t="shared" si="105"/>
        <v>0</v>
      </c>
    </row>
    <row r="490" spans="1:16" ht="31" hidden="1" customHeight="1" outlineLevel="1" thickBot="1" x14ac:dyDescent="0.3">
      <c r="A490" s="1406">
        <f t="shared" ref="A490:E498" si="107">A395</f>
        <v>2</v>
      </c>
      <c r="B490" s="1407" t="str">
        <f t="shared" si="107"/>
        <v>Boiler and Turbine improvement
(Station Heat Rate Improvement)</v>
      </c>
      <c r="C490" s="1406" t="str">
        <f t="shared" si="107"/>
        <v>MERC/TECH 1/CAPEX/20122013/02325</v>
      </c>
      <c r="D490" s="1451">
        <f t="shared" si="107"/>
        <v>41285</v>
      </c>
      <c r="E490" s="1452">
        <f t="shared" si="107"/>
        <v>16.783805100000002</v>
      </c>
      <c r="F490" s="1452">
        <f t="shared" si="99"/>
        <v>0</v>
      </c>
      <c r="G490" s="1452">
        <f t="shared" si="100"/>
        <v>0</v>
      </c>
      <c r="H490" s="1452">
        <f t="shared" si="101"/>
        <v>0</v>
      </c>
      <c r="I490" s="1452">
        <v>0</v>
      </c>
      <c r="J490" s="1452">
        <v>0</v>
      </c>
      <c r="K490" s="1452"/>
      <c r="L490" s="1452"/>
      <c r="M490" s="1452">
        <f t="shared" si="106"/>
        <v>0</v>
      </c>
      <c r="N490" s="1452">
        <f t="shared" si="103"/>
        <v>0</v>
      </c>
      <c r="O490" s="1453">
        <f t="shared" si="104"/>
        <v>0</v>
      </c>
      <c r="P490" s="1328">
        <f t="shared" si="105"/>
        <v>0</v>
      </c>
    </row>
    <row r="491" spans="1:16" ht="31" hidden="1" customHeight="1" outlineLevel="1" thickBot="1" x14ac:dyDescent="0.3">
      <c r="A491" s="1411">
        <f t="shared" si="107"/>
        <v>2.1</v>
      </c>
      <c r="B491" s="1412" t="str">
        <f t="shared" si="107"/>
        <v>Vent condenser performance improvement by replacement of eroded tube nest by unit 3.</v>
      </c>
      <c r="C491" s="1411" t="str">
        <f t="shared" si="107"/>
        <v>MERC/TECH 1/CAPEX/20122013/02325</v>
      </c>
      <c r="D491" s="1454">
        <f t="shared" si="107"/>
        <v>41285</v>
      </c>
      <c r="E491" s="1414">
        <f t="shared" si="107"/>
        <v>0.28599999999999998</v>
      </c>
      <c r="F491" s="1452">
        <f t="shared" si="99"/>
        <v>0</v>
      </c>
      <c r="G491" s="1452">
        <f t="shared" si="100"/>
        <v>0</v>
      </c>
      <c r="H491" s="1452">
        <f t="shared" si="101"/>
        <v>0</v>
      </c>
      <c r="I491" s="1452">
        <v>0</v>
      </c>
      <c r="J491" s="1452">
        <v>0</v>
      </c>
      <c r="K491" s="1414"/>
      <c r="L491" s="1414"/>
      <c r="M491" s="1414">
        <f t="shared" si="106"/>
        <v>0</v>
      </c>
      <c r="N491" s="1414">
        <f t="shared" si="103"/>
        <v>0</v>
      </c>
      <c r="O491" s="1453">
        <f t="shared" si="104"/>
        <v>0</v>
      </c>
      <c r="P491" s="1328">
        <f t="shared" si="105"/>
        <v>0</v>
      </c>
    </row>
    <row r="492" spans="1:16" ht="31" hidden="1" customHeight="1" outlineLevel="1" thickBot="1" x14ac:dyDescent="0.3">
      <c r="A492" s="1411">
        <f t="shared" si="107"/>
        <v>2.2000000000000002</v>
      </c>
      <c r="B492" s="1412" t="str">
        <f t="shared" si="107"/>
        <v>Replacement of major extraction valves &amp;NRVs of unit 3</v>
      </c>
      <c r="C492" s="1411" t="str">
        <f t="shared" si="107"/>
        <v>MERC/TECH 1/CAPEX/20122013/02325</v>
      </c>
      <c r="D492" s="1454">
        <f t="shared" si="107"/>
        <v>41285</v>
      </c>
      <c r="E492" s="1414">
        <f t="shared" si="107"/>
        <v>0.51900000000000002</v>
      </c>
      <c r="F492" s="1452">
        <f t="shared" si="99"/>
        <v>0</v>
      </c>
      <c r="G492" s="1452">
        <f t="shared" si="100"/>
        <v>0</v>
      </c>
      <c r="H492" s="1452">
        <f t="shared" si="101"/>
        <v>0</v>
      </c>
      <c r="I492" s="1452">
        <v>0</v>
      </c>
      <c r="J492" s="1452">
        <v>0</v>
      </c>
      <c r="K492" s="1414"/>
      <c r="L492" s="1414"/>
      <c r="M492" s="1414">
        <f t="shared" si="106"/>
        <v>0</v>
      </c>
      <c r="N492" s="1414">
        <f t="shared" si="103"/>
        <v>0</v>
      </c>
      <c r="O492" s="1453">
        <f t="shared" si="104"/>
        <v>0</v>
      </c>
      <c r="P492" s="1328">
        <f t="shared" si="105"/>
        <v>0</v>
      </c>
    </row>
    <row r="493" spans="1:16" ht="31" hidden="1" customHeight="1" outlineLevel="1" thickBot="1" x14ac:dyDescent="0.3">
      <c r="A493" s="1411">
        <f t="shared" si="107"/>
        <v>2.2999999999999998</v>
      </c>
      <c r="B493" s="1412" t="str">
        <f t="shared" si="107"/>
        <v>60% replacement of boiler skin insulation (Unit 2)</v>
      </c>
      <c r="C493" s="1411" t="str">
        <f t="shared" si="107"/>
        <v>MERC/TECH 1/CAPEX/20122013/02325</v>
      </c>
      <c r="D493" s="1454">
        <f t="shared" si="107"/>
        <v>41285</v>
      </c>
      <c r="E493" s="1414">
        <f t="shared" si="107"/>
        <v>0.29299999999999998</v>
      </c>
      <c r="F493" s="1452">
        <f t="shared" si="99"/>
        <v>0</v>
      </c>
      <c r="G493" s="1452">
        <f t="shared" si="100"/>
        <v>0</v>
      </c>
      <c r="H493" s="1452">
        <f t="shared" si="101"/>
        <v>0</v>
      </c>
      <c r="I493" s="1452">
        <v>0</v>
      </c>
      <c r="J493" s="1452">
        <v>0</v>
      </c>
      <c r="K493" s="1414"/>
      <c r="L493" s="1414"/>
      <c r="M493" s="1414">
        <f t="shared" si="106"/>
        <v>0</v>
      </c>
      <c r="N493" s="1414">
        <f t="shared" si="103"/>
        <v>0</v>
      </c>
      <c r="O493" s="1453">
        <f t="shared" si="104"/>
        <v>0</v>
      </c>
      <c r="P493" s="1328">
        <f t="shared" si="105"/>
        <v>0</v>
      </c>
    </row>
    <row r="494" spans="1:16" ht="31" hidden="1" customHeight="1" outlineLevel="1" thickBot="1" x14ac:dyDescent="0.3">
      <c r="A494" s="1411">
        <f t="shared" si="107"/>
        <v>2.4</v>
      </c>
      <c r="B494" s="1412" t="str">
        <f t="shared" si="107"/>
        <v>Replacement of DM make up ( unit 3) and GSH water pump.( units 2 &amp;3)</v>
      </c>
      <c r="C494" s="1411" t="str">
        <f t="shared" si="107"/>
        <v>MERC/TECH 1/CAPEX/20122013/02325</v>
      </c>
      <c r="D494" s="1454">
        <f t="shared" si="107"/>
        <v>41285</v>
      </c>
      <c r="E494" s="1414">
        <f t="shared" si="107"/>
        <v>0.20599999999999999</v>
      </c>
      <c r="F494" s="1452">
        <f t="shared" si="99"/>
        <v>0.26354099999999997</v>
      </c>
      <c r="G494" s="1452">
        <f t="shared" si="100"/>
        <v>0.26354099999999997</v>
      </c>
      <c r="H494" s="1452">
        <f t="shared" si="101"/>
        <v>0</v>
      </c>
      <c r="I494" s="1452">
        <v>0</v>
      </c>
      <c r="J494" s="1452">
        <v>0</v>
      </c>
      <c r="K494" s="1414"/>
      <c r="L494" s="1414"/>
      <c r="M494" s="1414">
        <f t="shared" si="106"/>
        <v>0</v>
      </c>
      <c r="N494" s="1414">
        <f t="shared" si="103"/>
        <v>0</v>
      </c>
      <c r="O494" s="1453">
        <f t="shared" si="104"/>
        <v>0</v>
      </c>
      <c r="P494" s="1328">
        <f t="shared" si="105"/>
        <v>0</v>
      </c>
    </row>
    <row r="495" spans="1:16" ht="31" hidden="1" customHeight="1" outlineLevel="1" thickBot="1" x14ac:dyDescent="0.3">
      <c r="A495" s="1411">
        <f t="shared" si="107"/>
        <v>2.5</v>
      </c>
      <c r="B495" s="1412" t="str">
        <f t="shared" si="107"/>
        <v>Replacement of LTSH coils (unit 3)</v>
      </c>
      <c r="C495" s="1411" t="str">
        <f t="shared" si="107"/>
        <v>MERC/TECH 1/CAPEX/20122013/02325</v>
      </c>
      <c r="D495" s="1454">
        <f t="shared" si="107"/>
        <v>41285</v>
      </c>
      <c r="E495" s="1414">
        <f t="shared" si="107"/>
        <v>8.3689999999999998</v>
      </c>
      <c r="F495" s="1452">
        <f t="shared" si="99"/>
        <v>5.319992955</v>
      </c>
      <c r="G495" s="1452">
        <f t="shared" si="100"/>
        <v>5.319992955</v>
      </c>
      <c r="H495" s="1452">
        <f t="shared" si="101"/>
        <v>0</v>
      </c>
      <c r="I495" s="1452">
        <v>0</v>
      </c>
      <c r="J495" s="1452">
        <v>0</v>
      </c>
      <c r="K495" s="1414"/>
      <c r="L495" s="1414"/>
      <c r="M495" s="1414">
        <f t="shared" si="106"/>
        <v>0</v>
      </c>
      <c r="N495" s="1414">
        <f t="shared" si="103"/>
        <v>0</v>
      </c>
      <c r="O495" s="1453">
        <f t="shared" si="104"/>
        <v>0</v>
      </c>
      <c r="P495" s="1328">
        <f t="shared" si="105"/>
        <v>0</v>
      </c>
    </row>
    <row r="496" spans="1:16" ht="31" hidden="1" customHeight="1" outlineLevel="1" thickBot="1" x14ac:dyDescent="0.3">
      <c r="A496" s="1411">
        <f t="shared" si="107"/>
        <v>2.6</v>
      </c>
      <c r="B496" s="1412" t="str">
        <f t="shared" si="107"/>
        <v>Replacement of ECO coils (unit 3)</v>
      </c>
      <c r="C496" s="1411" t="str">
        <f t="shared" si="107"/>
        <v>MERC/TECH 1/CAPEX/20122013/02325</v>
      </c>
      <c r="D496" s="1454">
        <f t="shared" si="107"/>
        <v>41285</v>
      </c>
      <c r="E496" s="1414">
        <f t="shared" si="107"/>
        <v>6.032</v>
      </c>
      <c r="F496" s="1452">
        <f t="shared" si="99"/>
        <v>3.47281854</v>
      </c>
      <c r="G496" s="1452">
        <f t="shared" si="100"/>
        <v>3.47281854</v>
      </c>
      <c r="H496" s="1452">
        <f t="shared" si="101"/>
        <v>0</v>
      </c>
      <c r="I496" s="1452">
        <v>0</v>
      </c>
      <c r="J496" s="1452">
        <v>0</v>
      </c>
      <c r="K496" s="1414"/>
      <c r="L496" s="1414"/>
      <c r="M496" s="1414">
        <f t="shared" si="106"/>
        <v>0</v>
      </c>
      <c r="N496" s="1414">
        <f t="shared" si="103"/>
        <v>0</v>
      </c>
      <c r="O496" s="1453">
        <f t="shared" si="104"/>
        <v>0</v>
      </c>
      <c r="P496" s="1328">
        <f t="shared" si="105"/>
        <v>0</v>
      </c>
    </row>
    <row r="497" spans="1:16" ht="31" hidden="1" customHeight="1" outlineLevel="1" thickBot="1" x14ac:dyDescent="0.3">
      <c r="A497" s="1411">
        <f t="shared" si="107"/>
        <v>2.7</v>
      </c>
      <c r="B497" s="1412" t="str">
        <f t="shared" si="107"/>
        <v>Replacement of old LT AHP pump impeller by energy efficient stainless steel impeller</v>
      </c>
      <c r="C497" s="1411" t="str">
        <f t="shared" si="107"/>
        <v>MERC/TECH 1/CAPEX/20122013/02325</v>
      </c>
      <c r="D497" s="1454">
        <f t="shared" si="107"/>
        <v>41285</v>
      </c>
      <c r="E497" s="1414">
        <f t="shared" si="107"/>
        <v>0.1488051</v>
      </c>
      <c r="F497" s="1452">
        <f t="shared" si="99"/>
        <v>0.1488051</v>
      </c>
      <c r="G497" s="1452">
        <f t="shared" si="100"/>
        <v>0.1488051</v>
      </c>
      <c r="H497" s="1452">
        <f t="shared" si="101"/>
        <v>0</v>
      </c>
      <c r="I497" s="1452">
        <v>0</v>
      </c>
      <c r="J497" s="1452">
        <v>0</v>
      </c>
      <c r="K497" s="1414"/>
      <c r="L497" s="1414"/>
      <c r="M497" s="1414">
        <f t="shared" si="106"/>
        <v>0</v>
      </c>
      <c r="N497" s="1414">
        <f t="shared" si="103"/>
        <v>0</v>
      </c>
      <c r="O497" s="1453">
        <f t="shared" si="104"/>
        <v>0</v>
      </c>
      <c r="P497" s="1328">
        <f t="shared" si="105"/>
        <v>0</v>
      </c>
    </row>
    <row r="498" spans="1:16" ht="31" hidden="1" customHeight="1" outlineLevel="1" thickBot="1" x14ac:dyDescent="0.3">
      <c r="A498" s="1416"/>
      <c r="B498" s="1412" t="str">
        <f t="shared" si="107"/>
        <v>IDC</v>
      </c>
      <c r="C498" s="1411" t="str">
        <f t="shared" si="107"/>
        <v>MERC/TECH 1/CAPEX/20122013/02325</v>
      </c>
      <c r="D498" s="1454">
        <f t="shared" si="107"/>
        <v>41285</v>
      </c>
      <c r="E498" s="1455">
        <f t="shared" si="107"/>
        <v>0.93</v>
      </c>
      <c r="F498" s="1452">
        <f t="shared" si="99"/>
        <v>0</v>
      </c>
      <c r="G498" s="1452">
        <f t="shared" si="100"/>
        <v>0</v>
      </c>
      <c r="H498" s="1452">
        <f t="shared" si="101"/>
        <v>0</v>
      </c>
      <c r="I498" s="1452">
        <v>0</v>
      </c>
      <c r="J498" s="1452">
        <v>0</v>
      </c>
      <c r="K498" s="1455"/>
      <c r="L498" s="1455"/>
      <c r="M498" s="1455">
        <f t="shared" si="106"/>
        <v>0</v>
      </c>
      <c r="N498" s="1455">
        <f t="shared" si="103"/>
        <v>0</v>
      </c>
      <c r="O498" s="1453">
        <f t="shared" si="104"/>
        <v>0</v>
      </c>
      <c r="P498" s="1328">
        <f t="shared" si="105"/>
        <v>0</v>
      </c>
    </row>
    <row r="499" spans="1:16" ht="31" hidden="1" customHeight="1" outlineLevel="1" thickBot="1" x14ac:dyDescent="0.3">
      <c r="A499" s="1406">
        <f t="shared" ref="A499:E514" si="108">A404</f>
        <v>3</v>
      </c>
      <c r="B499" s="1407" t="str">
        <f t="shared" si="108"/>
        <v>Measuring and Monitoring of Coal consumption</v>
      </c>
      <c r="C499" s="1406" t="str">
        <f t="shared" si="108"/>
        <v>MERC/CAPEX/20122013/00912</v>
      </c>
      <c r="D499" s="1451">
        <f t="shared" si="108"/>
        <v>41114</v>
      </c>
      <c r="E499" s="1452">
        <f t="shared" si="108"/>
        <v>45.918030000000002</v>
      </c>
      <c r="F499" s="1452">
        <f t="shared" si="99"/>
        <v>0</v>
      </c>
      <c r="G499" s="1452">
        <f t="shared" si="100"/>
        <v>0</v>
      </c>
      <c r="H499" s="1452">
        <f t="shared" si="101"/>
        <v>0</v>
      </c>
      <c r="I499" s="1452">
        <v>0</v>
      </c>
      <c r="J499" s="1452">
        <v>0</v>
      </c>
      <c r="K499" s="1452"/>
      <c r="L499" s="1452"/>
      <c r="M499" s="1452">
        <f t="shared" si="106"/>
        <v>0</v>
      </c>
      <c r="N499" s="1452">
        <f t="shared" si="103"/>
        <v>0</v>
      </c>
      <c r="O499" s="1453">
        <f t="shared" si="104"/>
        <v>0</v>
      </c>
      <c r="P499" s="1328">
        <f t="shared" si="105"/>
        <v>0</v>
      </c>
    </row>
    <row r="500" spans="1:16" ht="15.5" hidden="1" customHeight="1" outlineLevel="1" thickBot="1" x14ac:dyDescent="0.3">
      <c r="A500" s="1416">
        <f t="shared" si="108"/>
        <v>3.1</v>
      </c>
      <c r="B500" s="1412" t="str">
        <f t="shared" si="108"/>
        <v>Belt Weighers</v>
      </c>
      <c r="C500" s="1416" t="str">
        <f t="shared" si="108"/>
        <v>MERC/CAPEX/20122013/00912</v>
      </c>
      <c r="D500" s="1456">
        <f t="shared" si="108"/>
        <v>41114</v>
      </c>
      <c r="E500" s="1414">
        <f t="shared" si="108"/>
        <v>0.8044</v>
      </c>
      <c r="F500" s="1452">
        <f t="shared" si="99"/>
        <v>0</v>
      </c>
      <c r="G500" s="1452">
        <f t="shared" si="100"/>
        <v>0</v>
      </c>
      <c r="H500" s="1452">
        <f t="shared" si="101"/>
        <v>0</v>
      </c>
      <c r="I500" s="1452">
        <v>0</v>
      </c>
      <c r="J500" s="1452">
        <v>0</v>
      </c>
      <c r="K500" s="1414"/>
      <c r="L500" s="1414"/>
      <c r="M500" s="1414">
        <f t="shared" si="106"/>
        <v>0</v>
      </c>
      <c r="N500" s="1414">
        <f t="shared" si="103"/>
        <v>0</v>
      </c>
      <c r="O500" s="1453">
        <f t="shared" si="104"/>
        <v>0</v>
      </c>
      <c r="P500" s="1328">
        <f t="shared" si="105"/>
        <v>0</v>
      </c>
    </row>
    <row r="501" spans="1:16" ht="15.5" hidden="1" customHeight="1" outlineLevel="1" thickBot="1" x14ac:dyDescent="0.3">
      <c r="A501" s="1416">
        <f t="shared" si="108"/>
        <v>3.2</v>
      </c>
      <c r="B501" s="1412" t="str">
        <f t="shared" si="108"/>
        <v xml:space="preserve">Fully automatic pit-less in motion weigh bridges </v>
      </c>
      <c r="C501" s="1416" t="str">
        <f t="shared" si="108"/>
        <v>MERC/CAPEX/20122013/00912</v>
      </c>
      <c r="D501" s="1456">
        <f t="shared" si="108"/>
        <v>41114</v>
      </c>
      <c r="E501" s="1414">
        <f t="shared" si="108"/>
        <v>0.41149999999999998</v>
      </c>
      <c r="F501" s="1452">
        <f t="shared" si="99"/>
        <v>0</v>
      </c>
      <c r="G501" s="1452">
        <f t="shared" si="100"/>
        <v>0</v>
      </c>
      <c r="H501" s="1452">
        <f t="shared" si="101"/>
        <v>0</v>
      </c>
      <c r="I501" s="1452">
        <v>0</v>
      </c>
      <c r="J501" s="1452">
        <v>0</v>
      </c>
      <c r="K501" s="1414"/>
      <c r="L501" s="1414"/>
      <c r="M501" s="1414">
        <f t="shared" si="106"/>
        <v>0</v>
      </c>
      <c r="N501" s="1414">
        <f t="shared" si="103"/>
        <v>0</v>
      </c>
      <c r="O501" s="1453">
        <f t="shared" si="104"/>
        <v>0</v>
      </c>
      <c r="P501" s="1328">
        <f t="shared" si="105"/>
        <v>0</v>
      </c>
    </row>
    <row r="502" spans="1:16" ht="15.5" hidden="1" customHeight="1" outlineLevel="1" thickBot="1" x14ac:dyDescent="0.3">
      <c r="A502" s="1416">
        <f t="shared" si="108"/>
        <v>3.3</v>
      </c>
      <c r="B502" s="1412" t="str">
        <f t="shared" si="108"/>
        <v>Installation side arm charger for Wagon tippler 1A &amp; 1B</v>
      </c>
      <c r="C502" s="1416" t="str">
        <f t="shared" si="108"/>
        <v>MERC/CAPEX/20122013/00912</v>
      </c>
      <c r="D502" s="1456">
        <f t="shared" si="108"/>
        <v>41114</v>
      </c>
      <c r="E502" s="1414">
        <f t="shared" si="108"/>
        <v>21.96</v>
      </c>
      <c r="F502" s="1452">
        <f t="shared" si="99"/>
        <v>0</v>
      </c>
      <c r="G502" s="1452">
        <f t="shared" si="100"/>
        <v>0</v>
      </c>
      <c r="H502" s="1452">
        <f t="shared" si="101"/>
        <v>0</v>
      </c>
      <c r="I502" s="1452">
        <v>0</v>
      </c>
      <c r="J502" s="1452">
        <v>0</v>
      </c>
      <c r="K502" s="1414"/>
      <c r="L502" s="1414"/>
      <c r="M502" s="1414">
        <f t="shared" si="106"/>
        <v>0</v>
      </c>
      <c r="N502" s="1414">
        <f t="shared" si="103"/>
        <v>0</v>
      </c>
      <c r="O502" s="1453">
        <f t="shared" si="104"/>
        <v>0</v>
      </c>
      <c r="P502" s="1328">
        <f t="shared" si="105"/>
        <v>0</v>
      </c>
    </row>
    <row r="503" spans="1:16" ht="31" hidden="1" customHeight="1" outlineLevel="1" thickBot="1" x14ac:dyDescent="0.3">
      <c r="A503" s="1416">
        <f t="shared" si="108"/>
        <v>3.4</v>
      </c>
      <c r="B503" s="1412" t="str">
        <f t="shared" si="108"/>
        <v>Dust Extraction System at Secondary Crusher house &amp; Conveyor 6A/B at stage II CHP</v>
      </c>
      <c r="C503" s="1416" t="str">
        <f t="shared" si="108"/>
        <v>MERC/CAPEX/20122013/00912</v>
      </c>
      <c r="D503" s="1456">
        <f t="shared" si="108"/>
        <v>41114</v>
      </c>
      <c r="E503" s="1414">
        <f t="shared" si="108"/>
        <v>2.0714999999999999</v>
      </c>
      <c r="F503" s="1452">
        <f t="shared" si="99"/>
        <v>0</v>
      </c>
      <c r="G503" s="1452">
        <f t="shared" si="100"/>
        <v>0</v>
      </c>
      <c r="H503" s="1452">
        <f t="shared" si="101"/>
        <v>0</v>
      </c>
      <c r="I503" s="1452">
        <v>0</v>
      </c>
      <c r="J503" s="1452">
        <v>0</v>
      </c>
      <c r="K503" s="1414"/>
      <c r="L503" s="1414"/>
      <c r="M503" s="1414">
        <f t="shared" si="106"/>
        <v>0</v>
      </c>
      <c r="N503" s="1414">
        <f t="shared" si="103"/>
        <v>0</v>
      </c>
      <c r="O503" s="1453">
        <f t="shared" si="104"/>
        <v>0</v>
      </c>
      <c r="P503" s="1328">
        <f t="shared" si="105"/>
        <v>0</v>
      </c>
    </row>
    <row r="504" spans="1:16" ht="93" hidden="1" customHeight="1" outlineLevel="1" thickBot="1" x14ac:dyDescent="0.3">
      <c r="A504" s="1416">
        <f t="shared" si="108"/>
        <v>3.5</v>
      </c>
      <c r="B504" s="1412" t="str">
        <f t="shared" si="108"/>
        <v>Fogging system at 
a) WT old along with PCR, SCR and bunker level belt at Stage I CHP
b) Conveyor 7A/B
c) 100 Mtrx100 Mtr Coal stock area
d) 200 Mtrx200 Mtr Coal stock area</v>
      </c>
      <c r="C504" s="1416" t="str">
        <f t="shared" si="108"/>
        <v>MERC/CAPEX/20122013/00912</v>
      </c>
      <c r="D504" s="1456">
        <f t="shared" si="108"/>
        <v>41114</v>
      </c>
      <c r="E504" s="1414">
        <f t="shared" si="108"/>
        <v>2.2831000000000001</v>
      </c>
      <c r="F504" s="1452">
        <f t="shared" si="99"/>
        <v>0.4695358</v>
      </c>
      <c r="G504" s="1452">
        <f t="shared" si="100"/>
        <v>0.4695358</v>
      </c>
      <c r="H504" s="1452">
        <f t="shared" si="101"/>
        <v>0</v>
      </c>
      <c r="I504" s="1452">
        <v>0</v>
      </c>
      <c r="J504" s="1452">
        <v>0</v>
      </c>
      <c r="K504" s="1414"/>
      <c r="L504" s="1414"/>
      <c r="M504" s="1414">
        <f t="shared" si="106"/>
        <v>0</v>
      </c>
      <c r="N504" s="1414">
        <f t="shared" si="103"/>
        <v>0</v>
      </c>
      <c r="O504" s="1453">
        <f t="shared" si="104"/>
        <v>0</v>
      </c>
      <c r="P504" s="1328">
        <f t="shared" si="105"/>
        <v>0</v>
      </c>
    </row>
    <row r="505" spans="1:16" ht="15.5" hidden="1" customHeight="1" outlineLevel="1" thickBot="1" x14ac:dyDescent="0.3">
      <c r="A505" s="1416">
        <f t="shared" si="108"/>
        <v>3.6</v>
      </c>
      <c r="B505" s="1412" t="str">
        <f t="shared" si="108"/>
        <v xml:space="preserve">Bunker level montoring system for 12 bunkers </v>
      </c>
      <c r="C505" s="1416" t="str">
        <f t="shared" si="108"/>
        <v>MERC/CAPEX/20122013/00912</v>
      </c>
      <c r="D505" s="1456">
        <f t="shared" si="108"/>
        <v>41114</v>
      </c>
      <c r="E505" s="1414">
        <f t="shared" si="108"/>
        <v>2.5038</v>
      </c>
      <c r="F505" s="1452">
        <f t="shared" si="99"/>
        <v>0</v>
      </c>
      <c r="G505" s="1452">
        <f t="shared" si="100"/>
        <v>0</v>
      </c>
      <c r="H505" s="1452">
        <f t="shared" si="101"/>
        <v>0</v>
      </c>
      <c r="I505" s="1452">
        <v>0</v>
      </c>
      <c r="J505" s="1452">
        <v>0</v>
      </c>
      <c r="K505" s="1414"/>
      <c r="L505" s="1414"/>
      <c r="M505" s="1414">
        <f t="shared" si="106"/>
        <v>0</v>
      </c>
      <c r="N505" s="1414">
        <f t="shared" si="103"/>
        <v>0</v>
      </c>
      <c r="O505" s="1453">
        <f t="shared" si="104"/>
        <v>0</v>
      </c>
      <c r="P505" s="1328">
        <f t="shared" si="105"/>
        <v>0</v>
      </c>
    </row>
    <row r="506" spans="1:16" ht="15.5" hidden="1" customHeight="1" outlineLevel="1" thickBot="1" x14ac:dyDescent="0.3">
      <c r="A506" s="1416">
        <f t="shared" si="108"/>
        <v>3.7</v>
      </c>
      <c r="B506" s="1412" t="str">
        <f t="shared" si="108"/>
        <v xml:space="preserve">Rotary pneumatic or electrical hammers </v>
      </c>
      <c r="C506" s="1416" t="str">
        <f t="shared" si="108"/>
        <v>MERC/CAPEX/20122013/00912</v>
      </c>
      <c r="D506" s="1456">
        <f t="shared" si="108"/>
        <v>41114</v>
      </c>
      <c r="E506" s="1414">
        <f t="shared" si="108"/>
        <v>9.7000000000000003E-2</v>
      </c>
      <c r="F506" s="1452">
        <f t="shared" si="99"/>
        <v>0</v>
      </c>
      <c r="G506" s="1452">
        <f t="shared" si="100"/>
        <v>0</v>
      </c>
      <c r="H506" s="1452">
        <f t="shared" si="101"/>
        <v>0</v>
      </c>
      <c r="I506" s="1452">
        <v>0</v>
      </c>
      <c r="J506" s="1452">
        <v>0</v>
      </c>
      <c r="K506" s="1414"/>
      <c r="L506" s="1414"/>
      <c r="M506" s="1414">
        <f t="shared" si="106"/>
        <v>0</v>
      </c>
      <c r="N506" s="1414">
        <f t="shared" si="103"/>
        <v>0</v>
      </c>
      <c r="O506" s="1453">
        <f t="shared" si="104"/>
        <v>0</v>
      </c>
      <c r="P506" s="1328">
        <f t="shared" si="105"/>
        <v>0</v>
      </c>
    </row>
    <row r="507" spans="1:16" ht="31" hidden="1" customHeight="1" outlineLevel="1" thickBot="1" x14ac:dyDescent="0.3">
      <c r="A507" s="1416">
        <f t="shared" si="108"/>
        <v>3.8</v>
      </c>
      <c r="B507" s="1412" t="str">
        <f t="shared" si="108"/>
        <v xml:space="preserve">Enhancement of unloading capacity of CHP from 360 TPH to 500 TPH </v>
      </c>
      <c r="C507" s="1416" t="str">
        <f t="shared" si="108"/>
        <v>MERC/CAPEX/20122013/00912</v>
      </c>
      <c r="D507" s="1456">
        <f t="shared" si="108"/>
        <v>41114</v>
      </c>
      <c r="E507" s="1414">
        <f t="shared" si="108"/>
        <v>7.6508000000000003</v>
      </c>
      <c r="F507" s="1452">
        <f t="shared" si="99"/>
        <v>0</v>
      </c>
      <c r="G507" s="1452">
        <f t="shared" si="100"/>
        <v>0</v>
      </c>
      <c r="H507" s="1452">
        <f t="shared" si="101"/>
        <v>0</v>
      </c>
      <c r="I507" s="1452">
        <v>0</v>
      </c>
      <c r="J507" s="1452">
        <v>0</v>
      </c>
      <c r="K507" s="1414"/>
      <c r="L507" s="1414"/>
      <c r="M507" s="1414">
        <f t="shared" si="106"/>
        <v>0</v>
      </c>
      <c r="N507" s="1414">
        <f t="shared" si="103"/>
        <v>0</v>
      </c>
      <c r="O507" s="1453">
        <f t="shared" si="104"/>
        <v>0</v>
      </c>
      <c r="P507" s="1328">
        <f t="shared" si="105"/>
        <v>0</v>
      </c>
    </row>
    <row r="508" spans="1:16" ht="77.5" hidden="1" customHeight="1" outlineLevel="1" thickBot="1" x14ac:dyDescent="0.3">
      <c r="A508" s="1416">
        <f t="shared" si="108"/>
        <v>3.9</v>
      </c>
      <c r="B508" s="1412" t="str">
        <f t="shared" si="108"/>
        <v>Quick detection of poor coal quality through CCTV on overhead watch
tower focused onto the wagons, over which the rake passes at low
speed &amp; various conveyor tunnels</v>
      </c>
      <c r="C508" s="1416" t="str">
        <f t="shared" si="108"/>
        <v>MERC/CAPEX/20122013/00912</v>
      </c>
      <c r="D508" s="1456">
        <f t="shared" si="108"/>
        <v>41114</v>
      </c>
      <c r="E508" s="1414">
        <f t="shared" si="108"/>
        <v>0.29680000000000001</v>
      </c>
      <c r="F508" s="1452">
        <f t="shared" si="99"/>
        <v>0</v>
      </c>
      <c r="G508" s="1452">
        <f t="shared" si="100"/>
        <v>0</v>
      </c>
      <c r="H508" s="1452">
        <f t="shared" si="101"/>
        <v>0</v>
      </c>
      <c r="I508" s="1452">
        <v>0</v>
      </c>
      <c r="J508" s="1452">
        <v>0</v>
      </c>
      <c r="K508" s="1414"/>
      <c r="L508" s="1414"/>
      <c r="M508" s="1414">
        <f t="shared" si="106"/>
        <v>0</v>
      </c>
      <c r="N508" s="1414">
        <f t="shared" si="103"/>
        <v>0</v>
      </c>
      <c r="O508" s="1453">
        <f t="shared" si="104"/>
        <v>0</v>
      </c>
      <c r="P508" s="1328">
        <f t="shared" si="105"/>
        <v>0</v>
      </c>
    </row>
    <row r="509" spans="1:16" ht="15.5" hidden="1" customHeight="1" outlineLevel="1" thickBot="1" x14ac:dyDescent="0.3">
      <c r="A509" s="1418">
        <f t="shared" si="108"/>
        <v>3.1</v>
      </c>
      <c r="B509" s="1412" t="str">
        <f t="shared" si="108"/>
        <v xml:space="preserve">Motor controller for conveyor motors of Stage II CHP </v>
      </c>
      <c r="C509" s="1416" t="str">
        <f t="shared" si="108"/>
        <v>MERC/CAPEX/20122013/00912</v>
      </c>
      <c r="D509" s="1456">
        <f t="shared" si="108"/>
        <v>41114</v>
      </c>
      <c r="E509" s="1414">
        <f t="shared" si="108"/>
        <v>0.9607</v>
      </c>
      <c r="F509" s="1452">
        <f t="shared" si="99"/>
        <v>0.9607</v>
      </c>
      <c r="G509" s="1452">
        <f t="shared" si="100"/>
        <v>0.9607</v>
      </c>
      <c r="H509" s="1452">
        <f t="shared" si="101"/>
        <v>0</v>
      </c>
      <c r="I509" s="1452">
        <v>0</v>
      </c>
      <c r="J509" s="1452">
        <v>0</v>
      </c>
      <c r="K509" s="1414"/>
      <c r="L509" s="1414"/>
      <c r="M509" s="1414">
        <f t="shared" si="106"/>
        <v>0</v>
      </c>
      <c r="N509" s="1414">
        <f t="shared" si="103"/>
        <v>0</v>
      </c>
      <c r="O509" s="1453">
        <f t="shared" si="104"/>
        <v>0</v>
      </c>
      <c r="P509" s="1328">
        <f t="shared" si="105"/>
        <v>0</v>
      </c>
    </row>
    <row r="510" spans="1:16" ht="31" hidden="1" customHeight="1" outlineLevel="1" thickBot="1" x14ac:dyDescent="0.3">
      <c r="A510" s="1416">
        <f t="shared" si="108"/>
        <v>3.11</v>
      </c>
      <c r="B510" s="1412" t="str">
        <f t="shared" si="108"/>
        <v>Procurement of a CHN apparatus for ultimate analysis for operational optimization and coal mapping studies.</v>
      </c>
      <c r="C510" s="1416" t="str">
        <f t="shared" si="108"/>
        <v>MERC/CAPEX/20122013/00912</v>
      </c>
      <c r="D510" s="1456">
        <f t="shared" si="108"/>
        <v>41114</v>
      </c>
      <c r="E510" s="1414">
        <f t="shared" si="108"/>
        <v>0.63617000000000001</v>
      </c>
      <c r="F510" s="1452">
        <f t="shared" si="99"/>
        <v>0</v>
      </c>
      <c r="G510" s="1452">
        <f t="shared" si="100"/>
        <v>0</v>
      </c>
      <c r="H510" s="1452">
        <f t="shared" si="101"/>
        <v>0</v>
      </c>
      <c r="I510" s="1452">
        <v>0</v>
      </c>
      <c r="J510" s="1452">
        <v>0</v>
      </c>
      <c r="K510" s="1414"/>
      <c r="L510" s="1414"/>
      <c r="M510" s="1414">
        <f t="shared" si="106"/>
        <v>0</v>
      </c>
      <c r="N510" s="1414">
        <f t="shared" si="103"/>
        <v>0</v>
      </c>
      <c r="O510" s="1453">
        <f t="shared" si="104"/>
        <v>0</v>
      </c>
      <c r="P510" s="1328">
        <f t="shared" si="105"/>
        <v>0</v>
      </c>
    </row>
    <row r="511" spans="1:16" ht="15.5" hidden="1" customHeight="1" outlineLevel="1" thickBot="1" x14ac:dyDescent="0.3">
      <c r="A511" s="1416">
        <f t="shared" si="108"/>
        <v>3.12</v>
      </c>
      <c r="B511" s="1412" t="str">
        <f t="shared" si="108"/>
        <v xml:space="preserve">Additional bomb calorimeter </v>
      </c>
      <c r="C511" s="1416" t="str">
        <f t="shared" si="108"/>
        <v>MERC/CAPEX/20122013/00912</v>
      </c>
      <c r="D511" s="1456">
        <f t="shared" si="108"/>
        <v>41114</v>
      </c>
      <c r="E511" s="1414">
        <f t="shared" si="108"/>
        <v>0.44012000000000001</v>
      </c>
      <c r="F511" s="1452">
        <f t="shared" si="99"/>
        <v>0.19</v>
      </c>
      <c r="G511" s="1452">
        <f t="shared" si="100"/>
        <v>0.19</v>
      </c>
      <c r="H511" s="1452">
        <f t="shared" si="101"/>
        <v>0</v>
      </c>
      <c r="I511" s="1452">
        <v>0</v>
      </c>
      <c r="J511" s="1452">
        <v>0</v>
      </c>
      <c r="K511" s="1414"/>
      <c r="L511" s="1414"/>
      <c r="M511" s="1414">
        <f t="shared" si="106"/>
        <v>0</v>
      </c>
      <c r="N511" s="1414">
        <f t="shared" si="103"/>
        <v>0</v>
      </c>
      <c r="O511" s="1453">
        <f t="shared" si="104"/>
        <v>0</v>
      </c>
      <c r="P511" s="1328">
        <f t="shared" si="105"/>
        <v>0</v>
      </c>
    </row>
    <row r="512" spans="1:16" ht="15.5" hidden="1" customHeight="1" outlineLevel="1" thickBot="1" x14ac:dyDescent="0.3">
      <c r="A512" s="1416">
        <f t="shared" si="108"/>
        <v>3.13</v>
      </c>
      <c r="B512" s="1412" t="str">
        <f t="shared" si="108"/>
        <v xml:space="preserve">TGA analysis of the coal for operational optimization. </v>
      </c>
      <c r="C512" s="1416" t="str">
        <f t="shared" si="108"/>
        <v>MERC/CAPEX/20122013/00912</v>
      </c>
      <c r="D512" s="1456">
        <f t="shared" si="108"/>
        <v>41114</v>
      </c>
      <c r="E512" s="1414">
        <f t="shared" si="108"/>
        <v>0.53213999999999995</v>
      </c>
      <c r="F512" s="1452">
        <f t="shared" si="99"/>
        <v>0</v>
      </c>
      <c r="G512" s="1452">
        <f t="shared" si="100"/>
        <v>0</v>
      </c>
      <c r="H512" s="1452">
        <f t="shared" si="101"/>
        <v>0</v>
      </c>
      <c r="I512" s="1452">
        <v>0</v>
      </c>
      <c r="J512" s="1452">
        <v>0</v>
      </c>
      <c r="K512" s="1414"/>
      <c r="L512" s="1414"/>
      <c r="M512" s="1414">
        <f t="shared" si="106"/>
        <v>0</v>
      </c>
      <c r="N512" s="1414">
        <f t="shared" si="103"/>
        <v>0</v>
      </c>
      <c r="O512" s="1453">
        <f t="shared" si="104"/>
        <v>0</v>
      </c>
      <c r="P512" s="1328">
        <f t="shared" si="105"/>
        <v>0</v>
      </c>
    </row>
    <row r="513" spans="1:16" ht="15.5" hidden="1" customHeight="1" outlineLevel="1" thickBot="1" x14ac:dyDescent="0.3">
      <c r="A513" s="1406"/>
      <c r="B513" s="1412" t="str">
        <f t="shared" si="108"/>
        <v>IDC</v>
      </c>
      <c r="C513" s="1416" t="str">
        <f t="shared" si="108"/>
        <v>MERC/CAPEX/20122013/00912</v>
      </c>
      <c r="D513" s="1456">
        <f t="shared" si="108"/>
        <v>41114</v>
      </c>
      <c r="E513" s="1414">
        <f t="shared" si="108"/>
        <v>5.27</v>
      </c>
      <c r="F513" s="1452">
        <f t="shared" si="99"/>
        <v>0</v>
      </c>
      <c r="G513" s="1452">
        <f t="shared" si="100"/>
        <v>0</v>
      </c>
      <c r="H513" s="1452">
        <f t="shared" si="101"/>
        <v>0</v>
      </c>
      <c r="I513" s="1452">
        <v>0</v>
      </c>
      <c r="J513" s="1452">
        <v>0</v>
      </c>
      <c r="K513" s="1414"/>
      <c r="L513" s="1414"/>
      <c r="M513" s="1414">
        <f t="shared" si="106"/>
        <v>0</v>
      </c>
      <c r="N513" s="1414">
        <f t="shared" si="103"/>
        <v>0</v>
      </c>
      <c r="O513" s="1453">
        <f t="shared" si="104"/>
        <v>0</v>
      </c>
      <c r="P513" s="1328">
        <f t="shared" si="105"/>
        <v>0</v>
      </c>
    </row>
    <row r="514" spans="1:16" ht="31" hidden="1" customHeight="1" outlineLevel="1" thickBot="1" x14ac:dyDescent="0.3">
      <c r="A514" s="1406">
        <f>A419</f>
        <v>4</v>
      </c>
      <c r="B514" s="1407" t="str">
        <f t="shared" si="108"/>
        <v>Turbine Auxiliary Performance Improvements</v>
      </c>
      <c r="C514" s="1406" t="str">
        <f t="shared" si="108"/>
        <v>MERC/CAPEX/20122013/02107</v>
      </c>
      <c r="D514" s="1451">
        <f t="shared" si="108"/>
        <v>41281</v>
      </c>
      <c r="E514" s="1452">
        <f t="shared" si="108"/>
        <v>20.108999999999998</v>
      </c>
      <c r="F514" s="1452">
        <f t="shared" si="99"/>
        <v>0</v>
      </c>
      <c r="G514" s="1452">
        <f t="shared" si="100"/>
        <v>0</v>
      </c>
      <c r="H514" s="1452">
        <f t="shared" si="101"/>
        <v>0</v>
      </c>
      <c r="I514" s="1452">
        <v>0</v>
      </c>
      <c r="J514" s="1452">
        <v>0</v>
      </c>
      <c r="K514" s="1452"/>
      <c r="L514" s="1452"/>
      <c r="M514" s="1452">
        <f t="shared" si="106"/>
        <v>0</v>
      </c>
      <c r="N514" s="1452">
        <f t="shared" si="103"/>
        <v>0</v>
      </c>
      <c r="O514" s="1453">
        <f t="shared" si="104"/>
        <v>0</v>
      </c>
      <c r="P514" s="1328">
        <f t="shared" si="105"/>
        <v>0</v>
      </c>
    </row>
    <row r="515" spans="1:16" ht="46.5" hidden="1" customHeight="1" outlineLevel="1" thickBot="1" x14ac:dyDescent="0.3">
      <c r="A515" s="1416">
        <f>A420</f>
        <v>4.0999999999999996</v>
      </c>
      <c r="B515" s="1412" t="str">
        <f t="shared" ref="B515:E527" si="109">B420</f>
        <v>Procurement and installation and commissioning of modified upgraded boiler feed pump (Type -200KHI/S) having energy efficient cartridge for unit 2 &amp; 3 , BTPS.</v>
      </c>
      <c r="C515" s="1416" t="str">
        <f t="shared" si="109"/>
        <v>MERC/CAPEX/20122013/02107</v>
      </c>
      <c r="D515" s="1456">
        <f t="shared" si="109"/>
        <v>41281</v>
      </c>
      <c r="E515" s="1414">
        <f t="shared" si="109"/>
        <v>17.47</v>
      </c>
      <c r="F515" s="1452">
        <f t="shared" si="99"/>
        <v>8.655683800000002</v>
      </c>
      <c r="G515" s="1452">
        <f t="shared" si="100"/>
        <v>8.655683800000002</v>
      </c>
      <c r="H515" s="1452">
        <f t="shared" si="101"/>
        <v>0</v>
      </c>
      <c r="I515" s="1452">
        <v>0</v>
      </c>
      <c r="J515" s="1452">
        <v>0</v>
      </c>
      <c r="K515" s="1414"/>
      <c r="L515" s="1414"/>
      <c r="M515" s="1414">
        <f t="shared" si="106"/>
        <v>0</v>
      </c>
      <c r="N515" s="1414">
        <f t="shared" si="103"/>
        <v>0</v>
      </c>
      <c r="O515" s="1453">
        <f t="shared" si="104"/>
        <v>0</v>
      </c>
      <c r="P515" s="1328">
        <f t="shared" si="105"/>
        <v>0</v>
      </c>
    </row>
    <row r="516" spans="1:16" ht="31" hidden="1" customHeight="1" outlineLevel="1" thickBot="1" x14ac:dyDescent="0.3">
      <c r="A516" s="1416">
        <f>A421</f>
        <v>4.2</v>
      </c>
      <c r="B516" s="1412" t="str">
        <f t="shared" si="109"/>
        <v>Replacement of brine pumps with modified pumps complete with S.S material in new WTP</v>
      </c>
      <c r="C516" s="1416" t="str">
        <f t="shared" si="109"/>
        <v>MERC/CAPEX/20122013/02107</v>
      </c>
      <c r="D516" s="1456">
        <f t="shared" si="109"/>
        <v>41281</v>
      </c>
      <c r="E516" s="1414">
        <f t="shared" si="109"/>
        <v>1.0289999999999999</v>
      </c>
      <c r="F516" s="1452">
        <f t="shared" si="99"/>
        <v>0.30159950000000002</v>
      </c>
      <c r="G516" s="1452">
        <f t="shared" si="100"/>
        <v>0.30159950000000002</v>
      </c>
      <c r="H516" s="1452">
        <f t="shared" si="101"/>
        <v>0</v>
      </c>
      <c r="I516" s="1452">
        <v>0</v>
      </c>
      <c r="J516" s="1452">
        <v>0</v>
      </c>
      <c r="K516" s="1414"/>
      <c r="L516" s="1414"/>
      <c r="M516" s="1414">
        <f t="shared" si="106"/>
        <v>0</v>
      </c>
      <c r="N516" s="1414">
        <f t="shared" si="103"/>
        <v>0</v>
      </c>
      <c r="O516" s="1453">
        <f t="shared" si="104"/>
        <v>0</v>
      </c>
      <c r="P516" s="1328">
        <f t="shared" si="105"/>
        <v>0</v>
      </c>
    </row>
    <row r="517" spans="1:16" ht="15.5" hidden="1" customHeight="1" outlineLevel="1" thickBot="1" x14ac:dyDescent="0.3">
      <c r="A517" s="1406"/>
      <c r="B517" s="1412" t="str">
        <f t="shared" si="109"/>
        <v>IDC</v>
      </c>
      <c r="C517" s="1416" t="str">
        <f t="shared" si="109"/>
        <v>MERC/CAPEX/20122013/02107</v>
      </c>
      <c r="D517" s="1456">
        <f t="shared" si="109"/>
        <v>41281</v>
      </c>
      <c r="E517" s="1414">
        <f t="shared" si="109"/>
        <v>1.61</v>
      </c>
      <c r="F517" s="1452">
        <f t="shared" si="99"/>
        <v>0</v>
      </c>
      <c r="G517" s="1452">
        <f t="shared" si="100"/>
        <v>0</v>
      </c>
      <c r="H517" s="1452">
        <f t="shared" si="101"/>
        <v>0</v>
      </c>
      <c r="I517" s="1452">
        <v>0</v>
      </c>
      <c r="J517" s="1452">
        <v>0</v>
      </c>
      <c r="K517" s="1414"/>
      <c r="L517" s="1414"/>
      <c r="M517" s="1414">
        <f t="shared" si="106"/>
        <v>0</v>
      </c>
      <c r="N517" s="1414">
        <f t="shared" si="103"/>
        <v>0</v>
      </c>
      <c r="O517" s="1453">
        <f t="shared" si="104"/>
        <v>0</v>
      </c>
      <c r="P517" s="1328">
        <f t="shared" si="105"/>
        <v>0</v>
      </c>
    </row>
    <row r="518" spans="1:16" ht="31" hidden="1" customHeight="1" outlineLevel="1" thickBot="1" x14ac:dyDescent="0.3">
      <c r="A518" s="1406">
        <f>A423</f>
        <v>5</v>
      </c>
      <c r="B518" s="1407" t="str">
        <f t="shared" si="109"/>
        <v>Replacement of Platen water wall coils U#2,Super Heater &amp; Platen Super Heater Coils for U#2 and Cold Reheater coils for U#2 &amp; U#3</v>
      </c>
      <c r="C518" s="1406" t="str">
        <f t="shared" si="109"/>
        <v>MERC/TECH-1/CAPEX/20142015/006</v>
      </c>
      <c r="D518" s="1451">
        <f t="shared" si="109"/>
        <v>41928</v>
      </c>
      <c r="E518" s="1452">
        <f t="shared" si="109"/>
        <v>13.692</v>
      </c>
      <c r="F518" s="1452">
        <f t="shared" si="99"/>
        <v>0</v>
      </c>
      <c r="G518" s="1452">
        <f t="shared" si="100"/>
        <v>0</v>
      </c>
      <c r="H518" s="1452">
        <f t="shared" si="101"/>
        <v>0</v>
      </c>
      <c r="I518" s="1452">
        <v>0</v>
      </c>
      <c r="J518" s="1452">
        <v>0</v>
      </c>
      <c r="K518" s="1452"/>
      <c r="L518" s="1452"/>
      <c r="M518" s="1452">
        <f t="shared" si="106"/>
        <v>0</v>
      </c>
      <c r="N518" s="1452">
        <f t="shared" si="103"/>
        <v>0</v>
      </c>
      <c r="O518" s="1453">
        <f t="shared" si="104"/>
        <v>0</v>
      </c>
      <c r="P518" s="1328">
        <f t="shared" si="105"/>
        <v>0</v>
      </c>
    </row>
    <row r="519" spans="1:16" ht="31" hidden="1" customHeight="1" outlineLevel="1" thickBot="1" x14ac:dyDescent="0.3">
      <c r="A519" s="1416">
        <f>A424</f>
        <v>5.0999999999999996</v>
      </c>
      <c r="B519" s="1419" t="str">
        <f t="shared" si="109"/>
        <v>Supply &amp; Erection of Platen Water wall coils Assembly from inlet header to outlet header in pent house for Unit No 2</v>
      </c>
      <c r="C519" s="1416" t="str">
        <f t="shared" si="109"/>
        <v>MERC/TECH-1/CAPEX/20142015/006</v>
      </c>
      <c r="D519" s="1456">
        <f t="shared" si="109"/>
        <v>41928</v>
      </c>
      <c r="E519" s="1414">
        <f t="shared" si="109"/>
        <v>1.1040000000000001</v>
      </c>
      <c r="F519" s="1452">
        <f t="shared" si="99"/>
        <v>0.54</v>
      </c>
      <c r="G519" s="1452">
        <f t="shared" si="100"/>
        <v>0.54</v>
      </c>
      <c r="H519" s="1452">
        <f t="shared" si="101"/>
        <v>0</v>
      </c>
      <c r="I519" s="1452">
        <v>0</v>
      </c>
      <c r="J519" s="1452">
        <v>0</v>
      </c>
      <c r="K519" s="1414"/>
      <c r="L519" s="1414"/>
      <c r="M519" s="1414">
        <f t="shared" si="106"/>
        <v>0</v>
      </c>
      <c r="N519" s="1414">
        <f t="shared" si="103"/>
        <v>0</v>
      </c>
      <c r="O519" s="1453">
        <f t="shared" si="104"/>
        <v>0</v>
      </c>
      <c r="P519" s="1328">
        <f t="shared" si="105"/>
        <v>0</v>
      </c>
    </row>
    <row r="520" spans="1:16" ht="62" hidden="1" customHeight="1" outlineLevel="1" thickBot="1" x14ac:dyDescent="0.3">
      <c r="A520" s="1416">
        <f>A425</f>
        <v>5.2</v>
      </c>
      <c r="B520" s="1419" t="str">
        <f t="shared" si="109"/>
        <v>Complete Supply &amp; Erection of Super Heater Radiant Roof Panel Tube  with Attachment  for Unit No 2 Boiler From front side of Boiler to rear side of boiler &amp; Vertical Platen Super Heater coils Assembly for Unit No 2, 210 MW Boiler.</v>
      </c>
      <c r="C520" s="1416" t="str">
        <f t="shared" si="109"/>
        <v>MERC/TECH-1/CAPEX/20142015/006</v>
      </c>
      <c r="D520" s="1456">
        <f t="shared" si="109"/>
        <v>41928</v>
      </c>
      <c r="E520" s="1414">
        <f t="shared" si="109"/>
        <v>5.4770000000000003</v>
      </c>
      <c r="F520" s="1452">
        <f t="shared" si="99"/>
        <v>5.4649043000000006</v>
      </c>
      <c r="G520" s="1452">
        <f t="shared" si="100"/>
        <v>5.4649043000000006</v>
      </c>
      <c r="H520" s="1452">
        <f t="shared" si="101"/>
        <v>0</v>
      </c>
      <c r="I520" s="1452">
        <v>0</v>
      </c>
      <c r="J520" s="1452">
        <v>0</v>
      </c>
      <c r="K520" s="1414"/>
      <c r="L520" s="1414"/>
      <c r="M520" s="1414">
        <f t="shared" si="106"/>
        <v>0</v>
      </c>
      <c r="N520" s="1414">
        <f t="shared" si="103"/>
        <v>0</v>
      </c>
      <c r="O520" s="1453">
        <f t="shared" si="104"/>
        <v>0</v>
      </c>
      <c r="P520" s="1328">
        <f t="shared" si="105"/>
        <v>0</v>
      </c>
    </row>
    <row r="521" spans="1:16" ht="62" hidden="1" customHeight="1" outlineLevel="1" thickBot="1" x14ac:dyDescent="0.3">
      <c r="A521" s="1416">
        <f>A426</f>
        <v>5.3</v>
      </c>
      <c r="B521" s="1419" t="str">
        <f t="shared" si="109"/>
        <v>Supply &amp; Erection of Reheater front Pendent Assembly consisting Full set of Cold Reheater coil assembly For Unit No 2 with necessary attachments, Crown Plate. Heat shield, roof seal bend, steam cooled spacer tube with necessary attachment.</v>
      </c>
      <c r="C521" s="1416" t="str">
        <f t="shared" si="109"/>
        <v>MERC/TECH-1/CAPEX/20142015/006</v>
      </c>
      <c r="D521" s="1456">
        <f t="shared" si="109"/>
        <v>41928</v>
      </c>
      <c r="E521" s="1414">
        <f t="shared" si="109"/>
        <v>2.7109999999999999</v>
      </c>
      <c r="F521" s="1452">
        <f t="shared" si="99"/>
        <v>2.6624558</v>
      </c>
      <c r="G521" s="1452">
        <f t="shared" si="100"/>
        <v>2.6624558</v>
      </c>
      <c r="H521" s="1452">
        <f t="shared" si="101"/>
        <v>0</v>
      </c>
      <c r="I521" s="1452">
        <v>0</v>
      </c>
      <c r="J521" s="1452">
        <v>0</v>
      </c>
      <c r="K521" s="1414"/>
      <c r="L521" s="1414"/>
      <c r="M521" s="1414">
        <f t="shared" si="106"/>
        <v>0</v>
      </c>
      <c r="N521" s="1414">
        <f t="shared" si="103"/>
        <v>0</v>
      </c>
      <c r="O521" s="1453">
        <f t="shared" si="104"/>
        <v>0</v>
      </c>
      <c r="P521" s="1328">
        <f t="shared" si="105"/>
        <v>0</v>
      </c>
    </row>
    <row r="522" spans="1:16" ht="62" hidden="1" customHeight="1" outlineLevel="1" thickBot="1" x14ac:dyDescent="0.3">
      <c r="A522" s="1416">
        <f>A427</f>
        <v>5.4</v>
      </c>
      <c r="B522" s="1419" t="str">
        <f t="shared" si="109"/>
        <v>Supply &amp; Erection of Reheater front Pendent Assembly consisting Full set of Cold Reheater coil assembly For Unit No 3 with necessary attachments, Crown Plate. Heat shield, roof seal bend, steam cooled spacer tube with necessary attachment.</v>
      </c>
      <c r="C522" s="1416" t="str">
        <f t="shared" si="109"/>
        <v>MERC/TECH-1/CAPEX/20142015/006</v>
      </c>
      <c r="D522" s="1456">
        <f t="shared" si="109"/>
        <v>41928</v>
      </c>
      <c r="E522" s="1414">
        <f t="shared" si="109"/>
        <v>2.7109999999999999</v>
      </c>
      <c r="F522" s="1452">
        <f t="shared" si="99"/>
        <v>2.3531</v>
      </c>
      <c r="G522" s="1452">
        <f t="shared" si="100"/>
        <v>2.3531</v>
      </c>
      <c r="H522" s="1452">
        <f t="shared" si="101"/>
        <v>0</v>
      </c>
      <c r="I522" s="1452">
        <v>0</v>
      </c>
      <c r="J522" s="1452">
        <v>0</v>
      </c>
      <c r="K522" s="1414"/>
      <c r="L522" s="1414"/>
      <c r="M522" s="1414">
        <f t="shared" si="106"/>
        <v>0</v>
      </c>
      <c r="N522" s="1414">
        <f t="shared" si="103"/>
        <v>0</v>
      </c>
      <c r="O522" s="1453">
        <f t="shared" si="104"/>
        <v>0</v>
      </c>
      <c r="P522" s="1328">
        <f t="shared" si="105"/>
        <v>0</v>
      </c>
    </row>
    <row r="523" spans="1:16" ht="31" hidden="1" customHeight="1" outlineLevel="1" thickBot="1" x14ac:dyDescent="0.3">
      <c r="A523" s="1406"/>
      <c r="B523" s="1419" t="str">
        <f t="shared" si="109"/>
        <v>IDC</v>
      </c>
      <c r="C523" s="1416" t="str">
        <f t="shared" si="109"/>
        <v>MERC/TECH-1/CAPEX/20142015/006</v>
      </c>
      <c r="D523" s="1456">
        <f t="shared" si="109"/>
        <v>41928</v>
      </c>
      <c r="E523" s="1414">
        <f t="shared" si="109"/>
        <v>1.6890000000000001</v>
      </c>
      <c r="F523" s="1452">
        <f t="shared" si="99"/>
        <v>0</v>
      </c>
      <c r="G523" s="1452">
        <f t="shared" si="100"/>
        <v>0</v>
      </c>
      <c r="H523" s="1452">
        <f t="shared" si="101"/>
        <v>0</v>
      </c>
      <c r="I523" s="1452">
        <v>0</v>
      </c>
      <c r="J523" s="1452">
        <v>0</v>
      </c>
      <c r="K523" s="1414"/>
      <c r="L523" s="1414"/>
      <c r="M523" s="1414">
        <f t="shared" si="106"/>
        <v>0</v>
      </c>
      <c r="N523" s="1414">
        <f t="shared" si="103"/>
        <v>0</v>
      </c>
      <c r="O523" s="1453">
        <f t="shared" si="104"/>
        <v>0</v>
      </c>
      <c r="P523" s="1328">
        <f t="shared" si="105"/>
        <v>0</v>
      </c>
    </row>
    <row r="524" spans="1:16" ht="46.5" hidden="1" customHeight="1" outlineLevel="1" thickBot="1" x14ac:dyDescent="0.3">
      <c r="A524" s="1406">
        <f>A429</f>
        <v>6</v>
      </c>
      <c r="B524" s="1407" t="str">
        <f t="shared" si="109"/>
        <v>Boiler Process Improvement by replacement of damaged valves and Boiler Perfm Imp by Air Pre-Heater Up gradation of U#2 &amp; U#3 at BTPS</v>
      </c>
      <c r="C524" s="1406" t="str">
        <f t="shared" si="109"/>
        <v>MERC/Tech-1/CAPEX /2014-15/00433</v>
      </c>
      <c r="D524" s="1451">
        <f t="shared" si="109"/>
        <v>41792</v>
      </c>
      <c r="E524" s="1452">
        <f t="shared" si="109"/>
        <v>17.369999999999997</v>
      </c>
      <c r="F524" s="1452">
        <f t="shared" si="99"/>
        <v>0</v>
      </c>
      <c r="G524" s="1452">
        <f t="shared" si="100"/>
        <v>0</v>
      </c>
      <c r="H524" s="1452">
        <f t="shared" si="101"/>
        <v>0</v>
      </c>
      <c r="I524" s="1452">
        <v>0</v>
      </c>
      <c r="J524" s="1452">
        <v>0</v>
      </c>
      <c r="K524" s="1452"/>
      <c r="L524" s="1452"/>
      <c r="M524" s="1452">
        <f t="shared" si="106"/>
        <v>0</v>
      </c>
      <c r="N524" s="1452">
        <f t="shared" si="103"/>
        <v>0</v>
      </c>
      <c r="O524" s="1453">
        <f t="shared" si="104"/>
        <v>0</v>
      </c>
      <c r="P524" s="1328">
        <f t="shared" si="105"/>
        <v>0</v>
      </c>
    </row>
    <row r="525" spans="1:16" ht="31" hidden="1" customHeight="1" outlineLevel="1" thickBot="1" x14ac:dyDescent="0.3">
      <c r="A525" s="1411">
        <f>A430</f>
        <v>6.1</v>
      </c>
      <c r="B525" s="1419" t="str">
        <f t="shared" si="109"/>
        <v>Replacement of boiler outlet valves and damaged valves of units 2 &amp; 3</v>
      </c>
      <c r="C525" s="1411" t="str">
        <f t="shared" si="109"/>
        <v>MERC/Tech-1/CAPEX /2014-15/00433</v>
      </c>
      <c r="D525" s="1454">
        <f t="shared" si="109"/>
        <v>41792</v>
      </c>
      <c r="E525" s="1414">
        <f t="shared" si="109"/>
        <v>2.62</v>
      </c>
      <c r="F525" s="1452">
        <f t="shared" si="99"/>
        <v>1.3984000000000001</v>
      </c>
      <c r="G525" s="1452">
        <f t="shared" si="100"/>
        <v>1.3984000000000001</v>
      </c>
      <c r="H525" s="1452">
        <f t="shared" si="101"/>
        <v>0</v>
      </c>
      <c r="I525" s="1452">
        <v>0</v>
      </c>
      <c r="J525" s="1452">
        <v>0</v>
      </c>
      <c r="K525" s="1414"/>
      <c r="L525" s="1414"/>
      <c r="M525" s="1414">
        <f t="shared" si="106"/>
        <v>0</v>
      </c>
      <c r="N525" s="1414">
        <f t="shared" si="103"/>
        <v>0</v>
      </c>
      <c r="O525" s="1453">
        <f t="shared" si="104"/>
        <v>0</v>
      </c>
      <c r="P525" s="1328">
        <f t="shared" si="105"/>
        <v>0</v>
      </c>
    </row>
    <row r="526" spans="1:16" ht="31" hidden="1" customHeight="1" outlineLevel="1" thickBot="1" x14ac:dyDescent="0.3">
      <c r="A526" s="1411">
        <f>A431</f>
        <v>6.2</v>
      </c>
      <c r="B526" s="1419" t="str">
        <f t="shared" si="109"/>
        <v>Air pre heater up gradation of heat exchanger matrix &amp; regenerative dynamic sealing of units 2 &amp; 3</v>
      </c>
      <c r="C526" s="1411" t="str">
        <f t="shared" si="109"/>
        <v>MERC/Tech-1/CAPEX /2014-15/00433</v>
      </c>
      <c r="D526" s="1454">
        <f t="shared" si="109"/>
        <v>41792</v>
      </c>
      <c r="E526" s="1414">
        <f t="shared" si="109"/>
        <v>13.404999999999999</v>
      </c>
      <c r="F526" s="1452">
        <f t="shared" si="99"/>
        <v>1.2086276</v>
      </c>
      <c r="G526" s="1452">
        <f t="shared" si="100"/>
        <v>1.2086276</v>
      </c>
      <c r="H526" s="1452">
        <f t="shared" si="101"/>
        <v>0</v>
      </c>
      <c r="I526" s="1452">
        <v>0</v>
      </c>
      <c r="J526" s="1452">
        <v>0</v>
      </c>
      <c r="K526" s="1414"/>
      <c r="L526" s="1414"/>
      <c r="M526" s="1414">
        <f t="shared" si="106"/>
        <v>0</v>
      </c>
      <c r="N526" s="1414">
        <f t="shared" si="103"/>
        <v>0</v>
      </c>
      <c r="O526" s="1453">
        <f t="shared" si="104"/>
        <v>0</v>
      </c>
      <c r="P526" s="1328">
        <f t="shared" si="105"/>
        <v>0</v>
      </c>
    </row>
    <row r="527" spans="1:16" ht="31" hidden="1" customHeight="1" outlineLevel="1" thickBot="1" x14ac:dyDescent="0.3">
      <c r="A527" s="1411"/>
      <c r="B527" s="1419" t="str">
        <f t="shared" si="109"/>
        <v>IDC</v>
      </c>
      <c r="C527" s="1411" t="str">
        <f t="shared" si="109"/>
        <v>MERC/Tech-1/CAPEX /2014-15/00433</v>
      </c>
      <c r="D527" s="1454">
        <f t="shared" si="109"/>
        <v>41792</v>
      </c>
      <c r="E527" s="1414">
        <f t="shared" si="109"/>
        <v>1.345</v>
      </c>
      <c r="F527" s="1452">
        <f t="shared" si="99"/>
        <v>0</v>
      </c>
      <c r="G527" s="1452">
        <f t="shared" si="100"/>
        <v>0</v>
      </c>
      <c r="H527" s="1452">
        <f t="shared" si="101"/>
        <v>0</v>
      </c>
      <c r="I527" s="1452">
        <v>0</v>
      </c>
      <c r="J527" s="1452">
        <v>0</v>
      </c>
      <c r="K527" s="1414"/>
      <c r="L527" s="1414"/>
      <c r="M527" s="1414">
        <f t="shared" si="106"/>
        <v>0</v>
      </c>
      <c r="N527" s="1414">
        <f t="shared" si="103"/>
        <v>0</v>
      </c>
      <c r="O527" s="1453">
        <f t="shared" si="104"/>
        <v>0</v>
      </c>
      <c r="P527" s="1328">
        <f t="shared" si="105"/>
        <v>0</v>
      </c>
    </row>
    <row r="528" spans="1:16" ht="31" hidden="1" customHeight="1" outlineLevel="1" thickBot="1" x14ac:dyDescent="0.3">
      <c r="A528" s="1406">
        <f t="shared" ref="A528:E540" si="110">A433</f>
        <v>8</v>
      </c>
      <c r="B528" s="1407" t="str">
        <f t="shared" si="110"/>
        <v>Stack management by procurement of Bulldozer &amp; LOCO and CHP area schemes for performance &amp; unloading improvement</v>
      </c>
      <c r="C528" s="1406" t="str">
        <f t="shared" si="110"/>
        <v>MERC/CAPEX/20162017/01426</v>
      </c>
      <c r="D528" s="1451">
        <f t="shared" si="110"/>
        <v>42768</v>
      </c>
      <c r="E528" s="1452">
        <f t="shared" si="110"/>
        <v>2.0930578512396689</v>
      </c>
      <c r="F528" s="1452">
        <f t="shared" si="99"/>
        <v>0</v>
      </c>
      <c r="G528" s="1452">
        <f t="shared" si="100"/>
        <v>0</v>
      </c>
      <c r="H528" s="1452">
        <f t="shared" si="101"/>
        <v>0</v>
      </c>
      <c r="I528" s="1452">
        <v>0</v>
      </c>
      <c r="J528" s="1452">
        <v>0</v>
      </c>
      <c r="K528" s="1452"/>
      <c r="L528" s="1452"/>
      <c r="M528" s="1452">
        <f t="shared" si="106"/>
        <v>0</v>
      </c>
      <c r="N528" s="1452">
        <f t="shared" si="103"/>
        <v>0</v>
      </c>
      <c r="O528" s="1453">
        <f t="shared" si="104"/>
        <v>0</v>
      </c>
      <c r="P528" s="1328">
        <f t="shared" si="105"/>
        <v>0</v>
      </c>
    </row>
    <row r="529" spans="1:16" ht="15.5" hidden="1" customHeight="1" outlineLevel="1" thickBot="1" x14ac:dyDescent="0.3">
      <c r="A529" s="1411">
        <f t="shared" si="110"/>
        <v>8.1</v>
      </c>
      <c r="B529" s="1419" t="str">
        <f t="shared" si="110"/>
        <v>Procurement of Locomotive 800 HP (2 No.’s)</v>
      </c>
      <c r="C529" s="1411" t="str">
        <f t="shared" si="110"/>
        <v>MERC/CAPEX/20162017/01426</v>
      </c>
      <c r="D529" s="1454">
        <f t="shared" si="110"/>
        <v>42768</v>
      </c>
      <c r="E529" s="1414">
        <f t="shared" si="110"/>
        <v>1.0395867768595042</v>
      </c>
      <c r="F529" s="1452">
        <f t="shared" si="99"/>
        <v>1.0134768000000001</v>
      </c>
      <c r="G529" s="1452">
        <f t="shared" si="100"/>
        <v>1.0134768000000001</v>
      </c>
      <c r="H529" s="1452">
        <f t="shared" si="101"/>
        <v>0</v>
      </c>
      <c r="I529" s="1452">
        <v>0</v>
      </c>
      <c r="J529" s="1452">
        <v>0</v>
      </c>
      <c r="K529" s="1414"/>
      <c r="L529" s="1414"/>
      <c r="M529" s="1414">
        <f t="shared" si="106"/>
        <v>0</v>
      </c>
      <c r="N529" s="1414">
        <f t="shared" si="103"/>
        <v>0</v>
      </c>
      <c r="O529" s="1453">
        <f t="shared" si="104"/>
        <v>0</v>
      </c>
      <c r="P529" s="1328">
        <f t="shared" si="105"/>
        <v>0</v>
      </c>
    </row>
    <row r="530" spans="1:16" ht="15.5" hidden="1" customHeight="1" outlineLevel="1" thickBot="1" x14ac:dyDescent="0.3">
      <c r="A530" s="1411">
        <f t="shared" si="110"/>
        <v>8.1999999999999993</v>
      </c>
      <c r="B530" s="1419" t="str">
        <f t="shared" si="110"/>
        <v>Procurement of 2 No’s of Bulldozer Model D-155(2 No.’s)</v>
      </c>
      <c r="C530" s="1411" t="str">
        <f t="shared" si="110"/>
        <v>MERC/CAPEX/20162017/01426</v>
      </c>
      <c r="D530" s="1454">
        <f t="shared" si="110"/>
        <v>42768</v>
      </c>
      <c r="E530" s="1414">
        <f t="shared" si="110"/>
        <v>0.5380165289256198</v>
      </c>
      <c r="F530" s="1452">
        <f t="shared" si="99"/>
        <v>0.72968922148760329</v>
      </c>
      <c r="G530" s="1452">
        <f t="shared" si="100"/>
        <v>0.72968922148760329</v>
      </c>
      <c r="H530" s="1452">
        <f t="shared" si="101"/>
        <v>0</v>
      </c>
      <c r="I530" s="1452">
        <v>0</v>
      </c>
      <c r="J530" s="1452">
        <v>0</v>
      </c>
      <c r="K530" s="1414"/>
      <c r="L530" s="1414"/>
      <c r="M530" s="1414">
        <f t="shared" si="106"/>
        <v>0</v>
      </c>
      <c r="N530" s="1414">
        <f t="shared" si="103"/>
        <v>0</v>
      </c>
      <c r="O530" s="1453">
        <f t="shared" si="104"/>
        <v>0</v>
      </c>
      <c r="P530" s="1328">
        <f t="shared" si="105"/>
        <v>0</v>
      </c>
    </row>
    <row r="531" spans="1:16" ht="15.5" hidden="1" customHeight="1" outlineLevel="1" thickBot="1" x14ac:dyDescent="0.3">
      <c r="A531" s="1411">
        <f t="shared" si="110"/>
        <v>8.3000000000000007</v>
      </c>
      <c r="B531" s="1419" t="str">
        <f t="shared" si="110"/>
        <v>Modification below primary crusher chutes 15A/B &amp; Conv.02</v>
      </c>
      <c r="C531" s="1411" t="str">
        <f t="shared" si="110"/>
        <v>MERC/CAPEX/20162017/01426</v>
      </c>
      <c r="D531" s="1454">
        <f t="shared" si="110"/>
        <v>42768</v>
      </c>
      <c r="E531" s="1414">
        <f t="shared" si="110"/>
        <v>9.0247933884297526E-2</v>
      </c>
      <c r="F531" s="1452">
        <f t="shared" si="99"/>
        <v>7.9869421487603301E-2</v>
      </c>
      <c r="G531" s="1452">
        <f t="shared" si="100"/>
        <v>7.9869421487603301E-2</v>
      </c>
      <c r="H531" s="1452">
        <f t="shared" si="101"/>
        <v>0</v>
      </c>
      <c r="I531" s="1452">
        <v>0</v>
      </c>
      <c r="J531" s="1452">
        <v>0</v>
      </c>
      <c r="K531" s="1414"/>
      <c r="L531" s="1414"/>
      <c r="M531" s="1414">
        <f t="shared" si="106"/>
        <v>0</v>
      </c>
      <c r="N531" s="1414">
        <f t="shared" si="103"/>
        <v>0</v>
      </c>
      <c r="O531" s="1453">
        <f t="shared" si="104"/>
        <v>0</v>
      </c>
      <c r="P531" s="1328">
        <f t="shared" si="105"/>
        <v>0</v>
      </c>
    </row>
    <row r="532" spans="1:16" ht="15.5" hidden="1" customHeight="1" outlineLevel="1" thickBot="1" x14ac:dyDescent="0.3">
      <c r="A532" s="1411">
        <f t="shared" si="110"/>
        <v>8.4</v>
      </c>
      <c r="B532" s="1419" t="str">
        <f t="shared" si="110"/>
        <v>New helical gear box for various conveyors</v>
      </c>
      <c r="C532" s="1411" t="str">
        <f t="shared" si="110"/>
        <v>MERC/CAPEX/20162017/01426</v>
      </c>
      <c r="D532" s="1454">
        <f t="shared" si="110"/>
        <v>42768</v>
      </c>
      <c r="E532" s="1414">
        <f t="shared" si="110"/>
        <v>0.16661157024793388</v>
      </c>
      <c r="F532" s="1452">
        <f t="shared" si="99"/>
        <v>0</v>
      </c>
      <c r="G532" s="1452">
        <f t="shared" si="100"/>
        <v>0</v>
      </c>
      <c r="H532" s="1452">
        <f t="shared" si="101"/>
        <v>0</v>
      </c>
      <c r="I532" s="1452">
        <v>0</v>
      </c>
      <c r="J532" s="1452">
        <v>0</v>
      </c>
      <c r="K532" s="1414"/>
      <c r="L532" s="1414"/>
      <c r="M532" s="1414">
        <f t="shared" si="106"/>
        <v>0</v>
      </c>
      <c r="N532" s="1414">
        <f t="shared" si="103"/>
        <v>0</v>
      </c>
      <c r="O532" s="1453">
        <f t="shared" si="104"/>
        <v>0</v>
      </c>
      <c r="P532" s="1328">
        <f t="shared" si="105"/>
        <v>0</v>
      </c>
    </row>
    <row r="533" spans="1:16" ht="15.5" hidden="1" customHeight="1" outlineLevel="1" thickBot="1" x14ac:dyDescent="0.3">
      <c r="A533" s="1411">
        <f t="shared" si="110"/>
        <v>8.5</v>
      </c>
      <c r="B533" s="1419" t="str">
        <f t="shared" si="110"/>
        <v xml:space="preserve">Procurement of Elecon Make Ring Granulator Type TK-09-38B </v>
      </c>
      <c r="C533" s="1411" t="str">
        <f t="shared" si="110"/>
        <v>MERC/CAPEX/20162017/01426</v>
      </c>
      <c r="D533" s="1454">
        <f t="shared" si="110"/>
        <v>42768</v>
      </c>
      <c r="E533" s="1414">
        <f t="shared" si="110"/>
        <v>0.11280991735537189</v>
      </c>
      <c r="F533" s="1452">
        <f t="shared" si="99"/>
        <v>0</v>
      </c>
      <c r="G533" s="1452">
        <f t="shared" si="100"/>
        <v>0</v>
      </c>
      <c r="H533" s="1452">
        <f t="shared" si="101"/>
        <v>0</v>
      </c>
      <c r="I533" s="1452">
        <v>0</v>
      </c>
      <c r="J533" s="1452">
        <v>0</v>
      </c>
      <c r="K533" s="1414"/>
      <c r="L533" s="1414"/>
      <c r="M533" s="1414">
        <f t="shared" si="106"/>
        <v>0</v>
      </c>
      <c r="N533" s="1414">
        <f t="shared" si="103"/>
        <v>0</v>
      </c>
      <c r="O533" s="1453">
        <f t="shared" si="104"/>
        <v>0</v>
      </c>
      <c r="P533" s="1328">
        <f t="shared" si="105"/>
        <v>0</v>
      </c>
    </row>
    <row r="534" spans="1:16" ht="31" hidden="1" customHeight="1" outlineLevel="1" thickBot="1" x14ac:dyDescent="0.3">
      <c r="A534" s="1411">
        <f t="shared" si="110"/>
        <v>8.6</v>
      </c>
      <c r="B534" s="1419" t="str">
        <f t="shared" si="110"/>
        <v>Procurement of Elecon Make Ring Granulator Type TK6 32B Ring Granulator</v>
      </c>
      <c r="C534" s="1411" t="str">
        <f t="shared" si="110"/>
        <v>MERC/CAPEX/20162017/01426</v>
      </c>
      <c r="D534" s="1454">
        <f t="shared" si="110"/>
        <v>42768</v>
      </c>
      <c r="E534" s="1414">
        <f t="shared" si="110"/>
        <v>7.1157024793388424E-2</v>
      </c>
      <c r="F534" s="1452">
        <f t="shared" si="99"/>
        <v>0</v>
      </c>
      <c r="G534" s="1452">
        <f t="shared" si="100"/>
        <v>0</v>
      </c>
      <c r="H534" s="1452">
        <f t="shared" si="101"/>
        <v>0</v>
      </c>
      <c r="I534" s="1452">
        <v>0</v>
      </c>
      <c r="J534" s="1452">
        <v>0</v>
      </c>
      <c r="K534" s="1414"/>
      <c r="L534" s="1414"/>
      <c r="M534" s="1414">
        <f t="shared" si="106"/>
        <v>0</v>
      </c>
      <c r="N534" s="1414">
        <f t="shared" si="103"/>
        <v>0</v>
      </c>
      <c r="O534" s="1453">
        <f t="shared" si="104"/>
        <v>0</v>
      </c>
      <c r="P534" s="1328">
        <f t="shared" si="105"/>
        <v>0</v>
      </c>
    </row>
    <row r="535" spans="1:16" ht="15.5" hidden="1" customHeight="1" outlineLevel="1" thickBot="1" x14ac:dyDescent="0.3">
      <c r="A535" s="1411"/>
      <c r="B535" s="1419" t="str">
        <f t="shared" si="110"/>
        <v>IDC</v>
      </c>
      <c r="C535" s="1411" t="str">
        <f t="shared" si="110"/>
        <v>MERC/CAPEX/20162017/01426</v>
      </c>
      <c r="D535" s="1454">
        <f t="shared" si="110"/>
        <v>42768</v>
      </c>
      <c r="E535" s="1414">
        <f t="shared" si="110"/>
        <v>7.4628099173553716E-2</v>
      </c>
      <c r="F535" s="1452">
        <f t="shared" si="99"/>
        <v>0</v>
      </c>
      <c r="G535" s="1452">
        <f t="shared" si="100"/>
        <v>0</v>
      </c>
      <c r="H535" s="1452">
        <f t="shared" si="101"/>
        <v>0</v>
      </c>
      <c r="I535" s="1452">
        <v>0</v>
      </c>
      <c r="J535" s="1452">
        <v>0</v>
      </c>
      <c r="K535" s="1414"/>
      <c r="L535" s="1414"/>
      <c r="M535" s="1414">
        <f t="shared" si="106"/>
        <v>0</v>
      </c>
      <c r="N535" s="1414">
        <f t="shared" si="103"/>
        <v>0</v>
      </c>
      <c r="O535" s="1453">
        <f t="shared" si="104"/>
        <v>0</v>
      </c>
      <c r="P535" s="1328">
        <f t="shared" si="105"/>
        <v>0</v>
      </c>
    </row>
    <row r="536" spans="1:16" ht="46.5" hidden="1" customHeight="1" outlineLevel="1" thickBot="1" x14ac:dyDescent="0.3">
      <c r="A536" s="1406">
        <f>A441</f>
        <v>14</v>
      </c>
      <c r="B536" s="1407" t="str">
        <f t="shared" si="110"/>
        <v>Upgradation of Symphony Harmony DCS, 220V 1285 AH Battery &amp; Charger and Replacement of 6.6 kV HT MOCB by VCB at BTPS, Bhusawal</v>
      </c>
      <c r="C536" s="1406" t="str">
        <f t="shared" si="110"/>
        <v>MERC/CAPEX/2019-2020/915</v>
      </c>
      <c r="D536" s="1451">
        <f t="shared" si="110"/>
        <v>43760</v>
      </c>
      <c r="E536" s="1452">
        <f t="shared" si="110"/>
        <v>13.72861</v>
      </c>
      <c r="F536" s="1452">
        <f t="shared" si="99"/>
        <v>0</v>
      </c>
      <c r="G536" s="1452">
        <f t="shared" si="100"/>
        <v>0</v>
      </c>
      <c r="H536" s="1452">
        <f t="shared" si="101"/>
        <v>0</v>
      </c>
      <c r="I536" s="1452">
        <v>0</v>
      </c>
      <c r="J536" s="1452">
        <v>0</v>
      </c>
      <c r="K536" s="1452"/>
      <c r="L536" s="1452"/>
      <c r="M536" s="1452">
        <f t="shared" si="106"/>
        <v>0</v>
      </c>
      <c r="N536" s="1452">
        <f t="shared" si="103"/>
        <v>0</v>
      </c>
      <c r="O536" s="1453">
        <f t="shared" si="104"/>
        <v>0</v>
      </c>
      <c r="P536" s="1328">
        <f t="shared" si="105"/>
        <v>0</v>
      </c>
    </row>
    <row r="537" spans="1:16" ht="31" hidden="1" customHeight="1" outlineLevel="1" thickBot="1" x14ac:dyDescent="0.3">
      <c r="A537" s="1411">
        <f>A442</f>
        <v>14.1</v>
      </c>
      <c r="B537" s="1419" t="str">
        <f t="shared" si="110"/>
        <v>HMI Up-gradation of Symphony Harmony DCS Unit-3, 210MW, BTPS.</v>
      </c>
      <c r="C537" s="1411" t="str">
        <f t="shared" si="110"/>
        <v>MERC/CAPEX/2019-2020/915</v>
      </c>
      <c r="D537" s="1454">
        <f t="shared" si="110"/>
        <v>43760</v>
      </c>
      <c r="E537" s="1457">
        <f t="shared" si="110"/>
        <v>5.54</v>
      </c>
      <c r="F537" s="1452">
        <f t="shared" si="99"/>
        <v>5.54</v>
      </c>
      <c r="G537" s="1452">
        <f t="shared" si="100"/>
        <v>5.54</v>
      </c>
      <c r="H537" s="1452">
        <f t="shared" si="101"/>
        <v>0</v>
      </c>
      <c r="I537" s="1452">
        <v>0</v>
      </c>
      <c r="J537" s="1452">
        <v>0</v>
      </c>
      <c r="K537" s="1457"/>
      <c r="L537" s="1457"/>
      <c r="M537" s="1457">
        <f t="shared" si="106"/>
        <v>0</v>
      </c>
      <c r="N537" s="1457">
        <f t="shared" si="103"/>
        <v>0</v>
      </c>
      <c r="O537" s="1453">
        <f t="shared" si="104"/>
        <v>0</v>
      </c>
      <c r="P537" s="1328">
        <f t="shared" si="105"/>
        <v>0</v>
      </c>
    </row>
    <row r="538" spans="1:16" ht="46.5" hidden="1" customHeight="1" outlineLevel="1" thickBot="1" x14ac:dyDescent="0.3">
      <c r="A538" s="1411">
        <f>A443</f>
        <v>14.2</v>
      </c>
      <c r="B538" s="1419" t="str">
        <f t="shared" si="110"/>
        <v>Supply, erection, commissioning and site testing of Plante 220V DC, 1285 AH, Station Battery Set and charging equipment for 1285 AH Plante battery for Unit 3.</v>
      </c>
      <c r="C538" s="1411" t="str">
        <f t="shared" si="110"/>
        <v>MERC/CAPEX/2019-2020/915</v>
      </c>
      <c r="D538" s="1454">
        <f t="shared" si="110"/>
        <v>43760</v>
      </c>
      <c r="E538" s="1457">
        <f t="shared" si="110"/>
        <v>1.71861</v>
      </c>
      <c r="F538" s="1452">
        <f t="shared" si="99"/>
        <v>1.71861</v>
      </c>
      <c r="G538" s="1452">
        <f t="shared" si="100"/>
        <v>1.71861</v>
      </c>
      <c r="H538" s="1452">
        <f t="shared" si="101"/>
        <v>0</v>
      </c>
      <c r="I538" s="1452">
        <v>0</v>
      </c>
      <c r="J538" s="1452">
        <v>0</v>
      </c>
      <c r="K538" s="1457"/>
      <c r="L538" s="1457"/>
      <c r="M538" s="1457">
        <f t="shared" si="106"/>
        <v>0</v>
      </c>
      <c r="N538" s="1457">
        <f t="shared" si="103"/>
        <v>0</v>
      </c>
      <c r="O538" s="1453">
        <f t="shared" si="104"/>
        <v>0</v>
      </c>
      <c r="P538" s="1328">
        <f t="shared" si="105"/>
        <v>0</v>
      </c>
    </row>
    <row r="539" spans="1:16" ht="31" hidden="1" customHeight="1" outlineLevel="1" thickBot="1" x14ac:dyDescent="0.3">
      <c r="A539" s="1411">
        <f>A444</f>
        <v>14.3</v>
      </c>
      <c r="B539" s="1419" t="str">
        <f t="shared" si="110"/>
        <v>Retrofitting of 6.6 kv breakers of unit -3 along without door plant boards by vacuum circuit breakers.</v>
      </c>
      <c r="C539" s="1411" t="str">
        <f t="shared" si="110"/>
        <v>MERC/CAPEX/2019-2020/915</v>
      </c>
      <c r="D539" s="1454">
        <f t="shared" si="110"/>
        <v>43760</v>
      </c>
      <c r="E539" s="1457">
        <f t="shared" si="110"/>
        <v>6.47</v>
      </c>
      <c r="F539" s="1452">
        <f t="shared" si="99"/>
        <v>6.1082700000000001</v>
      </c>
      <c r="G539" s="1452">
        <f t="shared" si="100"/>
        <v>6.1082700000000001</v>
      </c>
      <c r="H539" s="1452">
        <f t="shared" si="101"/>
        <v>0</v>
      </c>
      <c r="I539" s="1452">
        <v>0</v>
      </c>
      <c r="J539" s="1452">
        <v>0</v>
      </c>
      <c r="K539" s="1457"/>
      <c r="L539" s="1457"/>
      <c r="M539" s="1457">
        <f t="shared" si="106"/>
        <v>0</v>
      </c>
      <c r="N539" s="1457">
        <f t="shared" si="103"/>
        <v>0</v>
      </c>
      <c r="O539" s="1453">
        <f t="shared" si="104"/>
        <v>0</v>
      </c>
      <c r="P539" s="1328">
        <f t="shared" si="105"/>
        <v>0</v>
      </c>
    </row>
    <row r="540" spans="1:16" ht="15.5" hidden="1" customHeight="1" outlineLevel="1" thickBot="1" x14ac:dyDescent="0.3">
      <c r="A540" s="1411"/>
      <c r="B540" s="1419" t="str">
        <f t="shared" si="110"/>
        <v>IDC</v>
      </c>
      <c r="C540" s="1411" t="str">
        <f t="shared" si="110"/>
        <v>MERC/CAPEX/2019-2020/915</v>
      </c>
      <c r="D540" s="1454">
        <f t="shared" si="110"/>
        <v>43760</v>
      </c>
      <c r="E540" s="1457">
        <f t="shared" si="110"/>
        <v>0</v>
      </c>
      <c r="F540" s="1452">
        <f t="shared" si="99"/>
        <v>0</v>
      </c>
      <c r="G540" s="1452">
        <f t="shared" si="100"/>
        <v>0</v>
      </c>
      <c r="H540" s="1452">
        <f t="shared" si="101"/>
        <v>0</v>
      </c>
      <c r="I540" s="1452">
        <v>0</v>
      </c>
      <c r="J540" s="1452">
        <v>0</v>
      </c>
      <c r="K540" s="1457"/>
      <c r="L540" s="1457"/>
      <c r="M540" s="1457">
        <f t="shared" si="106"/>
        <v>0</v>
      </c>
      <c r="N540" s="1457">
        <f t="shared" si="103"/>
        <v>0</v>
      </c>
      <c r="O540" s="1453">
        <f t="shared" si="104"/>
        <v>0</v>
      </c>
      <c r="P540" s="1328">
        <f t="shared" si="105"/>
        <v>0</v>
      </c>
    </row>
    <row r="541" spans="1:16" ht="46.5" hidden="1" customHeight="1" outlineLevel="1" thickBot="1" x14ac:dyDescent="0.3">
      <c r="A541" s="1406" t="str">
        <f t="shared" ref="A541:E556" si="111">A446</f>
        <v>HO
DPR-5</v>
      </c>
      <c r="B541" s="1407" t="str">
        <f t="shared" si="111"/>
        <v>Procurement of energy efficient HT motors at Bhusawal TPS, Koradi TPS, Chandrapur TPS, khaperkheda TPS, Parli TPS &amp; Paras TPS as insurance spares</v>
      </c>
      <c r="C541" s="1406" t="str">
        <f t="shared" si="111"/>
        <v>MERC/TECH 1/CAPEX/20142015/01218</v>
      </c>
      <c r="D541" s="1451">
        <f t="shared" si="111"/>
        <v>41968</v>
      </c>
      <c r="E541" s="1452">
        <f t="shared" si="111"/>
        <v>1.91</v>
      </c>
      <c r="F541" s="1452">
        <f t="shared" si="99"/>
        <v>0</v>
      </c>
      <c r="G541" s="1452">
        <f t="shared" si="100"/>
        <v>0</v>
      </c>
      <c r="H541" s="1452">
        <f t="shared" si="101"/>
        <v>0</v>
      </c>
      <c r="I541" s="1452">
        <v>0</v>
      </c>
      <c r="J541" s="1452">
        <v>0</v>
      </c>
      <c r="K541" s="1458"/>
      <c r="L541" s="1458"/>
      <c r="M541" s="1458">
        <f t="shared" si="106"/>
        <v>0</v>
      </c>
      <c r="N541" s="1458">
        <f t="shared" si="103"/>
        <v>0</v>
      </c>
      <c r="O541" s="1453">
        <f t="shared" si="104"/>
        <v>0</v>
      </c>
      <c r="P541" s="1328">
        <f t="shared" si="105"/>
        <v>0</v>
      </c>
    </row>
    <row r="542" spans="1:16" ht="31" hidden="1" customHeight="1" outlineLevel="1" thickBot="1" x14ac:dyDescent="0.4">
      <c r="A542" s="1416" t="str">
        <f t="shared" si="111"/>
        <v>HO
DPR 5.1</v>
      </c>
      <c r="B542" s="1422" t="str">
        <f t="shared" si="111"/>
        <v>Bhusawal: Procurement of HT motors (Coal Mill/CEP/CWP) for U-3</v>
      </c>
      <c r="C542" s="1416" t="str">
        <f t="shared" si="111"/>
        <v>MERC/TECH 1/CAPEX/20142015/01218</v>
      </c>
      <c r="D542" s="1456">
        <f t="shared" si="111"/>
        <v>41968</v>
      </c>
      <c r="E542" s="1455">
        <f t="shared" si="111"/>
        <v>1.91</v>
      </c>
      <c r="F542" s="1452">
        <f t="shared" si="99"/>
        <v>0.69702600000000003</v>
      </c>
      <c r="G542" s="1452">
        <f t="shared" si="100"/>
        <v>0.69702600000000003</v>
      </c>
      <c r="H542" s="1452">
        <f t="shared" si="101"/>
        <v>0</v>
      </c>
      <c r="I542" s="1452">
        <v>0</v>
      </c>
      <c r="J542" s="1452">
        <v>0</v>
      </c>
      <c r="K542" s="1455"/>
      <c r="L542" s="1455"/>
      <c r="M542" s="1455">
        <f t="shared" si="106"/>
        <v>0</v>
      </c>
      <c r="N542" s="1455">
        <f t="shared" si="103"/>
        <v>0</v>
      </c>
      <c r="O542" s="1453">
        <f t="shared" si="104"/>
        <v>0</v>
      </c>
      <c r="P542" s="1328">
        <f t="shared" si="105"/>
        <v>0</v>
      </c>
    </row>
    <row r="543" spans="1:16" ht="46.5" hidden="1" customHeight="1" outlineLevel="1" thickBot="1" x14ac:dyDescent="0.3">
      <c r="A543" s="1406" t="str">
        <f t="shared" si="111"/>
        <v>HO
DPR 6</v>
      </c>
      <c r="B543" s="1407" t="str">
        <f t="shared" si="111"/>
        <v>Supply, Installation, Commissioning and Operation &amp; Maintenance Services of Continuous Ambient Air Quality Monitoring Stations (CAAQMS) at various TPS</v>
      </c>
      <c r="C543" s="1406" t="str">
        <f t="shared" si="111"/>
        <v>MERC/CAPEX/20162017/00423</v>
      </c>
      <c r="D543" s="1451">
        <f t="shared" si="111"/>
        <v>42585</v>
      </c>
      <c r="E543" s="1452">
        <f t="shared" si="111"/>
        <v>1.3257526714285714</v>
      </c>
      <c r="F543" s="1452">
        <f t="shared" si="99"/>
        <v>0</v>
      </c>
      <c r="G543" s="1452">
        <f t="shared" si="100"/>
        <v>0</v>
      </c>
      <c r="H543" s="1452">
        <f t="shared" si="101"/>
        <v>0</v>
      </c>
      <c r="I543" s="1452">
        <v>0</v>
      </c>
      <c r="J543" s="1452">
        <v>0</v>
      </c>
      <c r="K543" s="1458"/>
      <c r="L543" s="1458"/>
      <c r="M543" s="1458">
        <f t="shared" si="106"/>
        <v>0</v>
      </c>
      <c r="N543" s="1458">
        <f t="shared" si="103"/>
        <v>0</v>
      </c>
      <c r="O543" s="1453">
        <f t="shared" si="104"/>
        <v>0</v>
      </c>
      <c r="P543" s="1328">
        <f t="shared" si="105"/>
        <v>0</v>
      </c>
    </row>
    <row r="544" spans="1:16" ht="31" hidden="1" customHeight="1" outlineLevel="1" thickBot="1" x14ac:dyDescent="0.4">
      <c r="A544" s="1416" t="str">
        <f t="shared" si="111"/>
        <v>HO
DPR 6.1</v>
      </c>
      <c r="B544" s="1422" t="str">
        <f t="shared" si="111"/>
        <v>Bhusawal: Unit 2-3 (1 Nos.)</v>
      </c>
      <c r="C544" s="1416" t="str">
        <f t="shared" si="111"/>
        <v>MERC/CAPEX/20162017/00423</v>
      </c>
      <c r="D544" s="1459">
        <f t="shared" si="111"/>
        <v>42585</v>
      </c>
      <c r="E544" s="1455">
        <f t="shared" si="111"/>
        <v>1.3257526714285714</v>
      </c>
      <c r="F544" s="1452">
        <f t="shared" si="99"/>
        <v>0.9383999666666667</v>
      </c>
      <c r="G544" s="1452">
        <f t="shared" si="100"/>
        <v>0.9383999666666667</v>
      </c>
      <c r="H544" s="1452">
        <f t="shared" si="101"/>
        <v>0</v>
      </c>
      <c r="I544" s="1452">
        <v>0</v>
      </c>
      <c r="J544" s="1452">
        <v>0</v>
      </c>
      <c r="K544" s="1455"/>
      <c r="L544" s="1455"/>
      <c r="M544" s="1455">
        <f t="shared" si="106"/>
        <v>0</v>
      </c>
      <c r="N544" s="1455">
        <f t="shared" si="103"/>
        <v>0</v>
      </c>
      <c r="O544" s="1453">
        <f t="shared" si="104"/>
        <v>0</v>
      </c>
      <c r="P544" s="1328">
        <f t="shared" si="105"/>
        <v>0</v>
      </c>
    </row>
    <row r="545" spans="1:16" ht="31" hidden="1" customHeight="1" outlineLevel="1" thickBot="1" x14ac:dyDescent="0.3">
      <c r="A545" s="1406" t="str">
        <f t="shared" si="111"/>
        <v>HO
DPR 7</v>
      </c>
      <c r="B545" s="1407" t="str">
        <f t="shared" si="111"/>
        <v>Installation of Real Time Online Coal-Ash Analyzer at various TPS</v>
      </c>
      <c r="C545" s="1406" t="str">
        <f t="shared" si="111"/>
        <v>MERC/CAPEX/20162017/00774</v>
      </c>
      <c r="D545" s="1451">
        <f t="shared" si="111"/>
        <v>42643</v>
      </c>
      <c r="E545" s="1452">
        <f t="shared" si="111"/>
        <v>0</v>
      </c>
      <c r="F545" s="1452">
        <f t="shared" si="99"/>
        <v>0</v>
      </c>
      <c r="G545" s="1452">
        <f t="shared" si="100"/>
        <v>0</v>
      </c>
      <c r="H545" s="1452">
        <f t="shared" si="101"/>
        <v>0</v>
      </c>
      <c r="I545" s="1452">
        <v>0</v>
      </c>
      <c r="J545" s="1452">
        <v>0</v>
      </c>
      <c r="K545" s="1458"/>
      <c r="L545" s="1458"/>
      <c r="M545" s="1458">
        <f t="shared" si="106"/>
        <v>0</v>
      </c>
      <c r="N545" s="1458">
        <f t="shared" si="103"/>
        <v>0</v>
      </c>
      <c r="O545" s="1453">
        <f t="shared" si="104"/>
        <v>0</v>
      </c>
      <c r="P545" s="1328">
        <f t="shared" si="105"/>
        <v>0</v>
      </c>
    </row>
    <row r="546" spans="1:16" ht="31" hidden="1" customHeight="1" outlineLevel="1" thickBot="1" x14ac:dyDescent="0.4">
      <c r="A546" s="1416" t="str">
        <f t="shared" si="111"/>
        <v>HO
DPR 7.1</v>
      </c>
      <c r="B546" s="1422" t="str">
        <f t="shared" si="111"/>
        <v>Bhusawal: Unit 2-3</v>
      </c>
      <c r="C546" s="1416" t="str">
        <f t="shared" si="111"/>
        <v>MERC/CAPEX/20162017/00774</v>
      </c>
      <c r="D546" s="1459">
        <f t="shared" si="111"/>
        <v>42643</v>
      </c>
      <c r="E546" s="1455">
        <f t="shared" si="111"/>
        <v>0</v>
      </c>
      <c r="F546" s="1452">
        <f t="shared" si="99"/>
        <v>0</v>
      </c>
      <c r="G546" s="1452">
        <f t="shared" si="100"/>
        <v>0</v>
      </c>
      <c r="H546" s="1452">
        <f t="shared" si="101"/>
        <v>0</v>
      </c>
      <c r="I546" s="1452">
        <v>0</v>
      </c>
      <c r="J546" s="1452">
        <v>0</v>
      </c>
      <c r="K546" s="1455"/>
      <c r="L546" s="1455"/>
      <c r="M546" s="1455">
        <f t="shared" si="106"/>
        <v>0</v>
      </c>
      <c r="N546" s="1455">
        <f t="shared" si="103"/>
        <v>0</v>
      </c>
      <c r="O546" s="1453">
        <f t="shared" si="104"/>
        <v>0</v>
      </c>
      <c r="P546" s="1328">
        <f t="shared" si="105"/>
        <v>0</v>
      </c>
    </row>
    <row r="547" spans="1:16" ht="31" hidden="1" customHeight="1" outlineLevel="1" thickBot="1" x14ac:dyDescent="0.3">
      <c r="A547" s="1424" t="str">
        <f t="shared" si="111"/>
        <v>HO
DPR 13</v>
      </c>
      <c r="B547" s="1425" t="str">
        <f t="shared" si="111"/>
        <v>Construction of new Administrative Building for Mahagenco at Vidyut Bhawan, Katol Road, Nagpur</v>
      </c>
      <c r="C547" s="1460" t="str">
        <f t="shared" si="111"/>
        <v>MERC/CAPEX/2021-2022/MSPGCL/063</v>
      </c>
      <c r="D547" s="1461">
        <f t="shared" si="111"/>
        <v>44604</v>
      </c>
      <c r="E547" s="1462">
        <f t="shared" si="111"/>
        <v>57</v>
      </c>
      <c r="F547" s="302">
        <f t="shared" si="99"/>
        <v>0</v>
      </c>
      <c r="G547" s="302">
        <f t="shared" si="100"/>
        <v>0</v>
      </c>
      <c r="H547" s="302">
        <f t="shared" si="101"/>
        <v>0</v>
      </c>
      <c r="I547" s="1462">
        <v>0</v>
      </c>
      <c r="J547" s="1462">
        <v>0</v>
      </c>
      <c r="K547" s="302"/>
      <c r="L547" s="302"/>
      <c r="M547" s="302">
        <f t="shared" ref="M547:M574" si="112">SUM(J547:L547)</f>
        <v>0</v>
      </c>
      <c r="N547" s="302">
        <f t="shared" si="103"/>
        <v>0</v>
      </c>
    </row>
    <row r="548" spans="1:16" ht="46.5" hidden="1" customHeight="1" outlineLevel="1" thickBot="1" x14ac:dyDescent="0.3">
      <c r="A548" s="1430" t="str">
        <f t="shared" si="111"/>
        <v>HO
DPR 13.1</v>
      </c>
      <c r="B548" s="1431" t="str">
        <f t="shared" si="111"/>
        <v>Construction of new Administrative Building for Mahagenco at Vidyut Bhawan, Katol Road, Nagpur</v>
      </c>
      <c r="C548" s="1427" t="str">
        <f t="shared" si="111"/>
        <v>MERC/CAPEX/2021-2022/MSPGCL/063</v>
      </c>
      <c r="D548" s="1464">
        <f t="shared" si="111"/>
        <v>44604</v>
      </c>
      <c r="E548" s="1465">
        <f t="shared" si="111"/>
        <v>54.24</v>
      </c>
      <c r="F548" s="302">
        <f t="shared" si="99"/>
        <v>0</v>
      </c>
      <c r="G548" s="302">
        <f t="shared" si="100"/>
        <v>0</v>
      </c>
      <c r="H548" s="302">
        <f t="shared" si="101"/>
        <v>0</v>
      </c>
      <c r="I548" s="1462">
        <v>0</v>
      </c>
      <c r="J548" s="1462">
        <v>0</v>
      </c>
      <c r="K548" s="302"/>
      <c r="L548" s="302"/>
      <c r="M548" s="302">
        <f t="shared" si="112"/>
        <v>0</v>
      </c>
      <c r="N548" s="302">
        <f t="shared" si="103"/>
        <v>0</v>
      </c>
    </row>
    <row r="549" spans="1:16" ht="31" hidden="1" customHeight="1" outlineLevel="1" thickBot="1" x14ac:dyDescent="0.3">
      <c r="A549" s="1433">
        <f t="shared" si="111"/>
        <v>0</v>
      </c>
      <c r="B549" s="1431" t="str">
        <f t="shared" si="111"/>
        <v>IDC</v>
      </c>
      <c r="C549" s="1427" t="str">
        <f t="shared" si="111"/>
        <v>MERC/CAPEX/2021-2022/MSPGCL/063</v>
      </c>
      <c r="D549" s="1464">
        <f t="shared" si="111"/>
        <v>44604</v>
      </c>
      <c r="E549" s="1465">
        <f t="shared" si="111"/>
        <v>2.76</v>
      </c>
      <c r="F549" s="302">
        <f t="shared" ref="F549:F574" si="113">F454+I454</f>
        <v>0</v>
      </c>
      <c r="G549" s="302">
        <f t="shared" ref="G549:G574" si="114">G454+M454</f>
        <v>0</v>
      </c>
      <c r="H549" s="302">
        <f t="shared" ref="H549:H574" si="115">F549-G549</f>
        <v>0</v>
      </c>
      <c r="I549" s="1462">
        <v>0</v>
      </c>
      <c r="J549" s="1462">
        <v>0</v>
      </c>
      <c r="K549" s="302"/>
      <c r="L549" s="302"/>
      <c r="M549" s="302">
        <f t="shared" si="112"/>
        <v>0</v>
      </c>
      <c r="N549" s="302">
        <f t="shared" ref="N549:N574" si="116">H549+I549-M549</f>
        <v>0</v>
      </c>
    </row>
    <row r="550" spans="1:16" ht="31" hidden="1" customHeight="1" outlineLevel="1" thickBot="1" x14ac:dyDescent="0.3">
      <c r="A550" s="1424" t="str">
        <f t="shared" si="111"/>
        <v>HO
DPR 16</v>
      </c>
      <c r="B550" s="1425" t="str">
        <f t="shared" si="111"/>
        <v>Centralized Monitoring Solution</v>
      </c>
      <c r="C550" s="1460" t="str">
        <f t="shared" si="111"/>
        <v>MERC/CAPEX/MSPGCL/2023-24/0576</v>
      </c>
      <c r="D550" s="1461">
        <f t="shared" si="111"/>
        <v>45232</v>
      </c>
      <c r="E550" s="1462">
        <f t="shared" si="111"/>
        <v>69.308999999999997</v>
      </c>
      <c r="F550" s="302">
        <f t="shared" si="113"/>
        <v>0</v>
      </c>
      <c r="G550" s="302">
        <f t="shared" si="114"/>
        <v>0</v>
      </c>
      <c r="H550" s="302">
        <f t="shared" si="115"/>
        <v>0</v>
      </c>
      <c r="I550" s="1462">
        <v>0</v>
      </c>
      <c r="J550" s="1462">
        <v>0</v>
      </c>
      <c r="K550" s="302"/>
      <c r="L550" s="302"/>
      <c r="M550" s="302">
        <f t="shared" si="112"/>
        <v>0</v>
      </c>
      <c r="N550" s="302">
        <f t="shared" si="116"/>
        <v>0</v>
      </c>
    </row>
    <row r="551" spans="1:16" ht="46.5" hidden="1" customHeight="1" outlineLevel="1" thickBot="1" x14ac:dyDescent="0.3">
      <c r="A551" s="1430" t="str">
        <f t="shared" si="111"/>
        <v>HO
DPR 16.1</v>
      </c>
      <c r="B551" s="1431" t="str">
        <f t="shared" si="111"/>
        <v>Centralized Monitoring Solution</v>
      </c>
      <c r="C551" s="1427" t="str">
        <f t="shared" si="111"/>
        <v>MERC/CAPEX/MSPGCL/2023-24/0576</v>
      </c>
      <c r="D551" s="1464">
        <f t="shared" si="111"/>
        <v>45232</v>
      </c>
      <c r="E551" s="1465">
        <f t="shared" si="111"/>
        <v>66.009</v>
      </c>
      <c r="F551" s="302">
        <f t="shared" si="113"/>
        <v>0</v>
      </c>
      <c r="G551" s="302">
        <f t="shared" si="114"/>
        <v>0</v>
      </c>
      <c r="H551" s="302">
        <f t="shared" si="115"/>
        <v>0</v>
      </c>
      <c r="I551" s="1462">
        <v>0</v>
      </c>
      <c r="J551" s="1462">
        <v>0</v>
      </c>
      <c r="K551" s="302"/>
      <c r="L551" s="302"/>
      <c r="M551" s="302">
        <f t="shared" si="112"/>
        <v>0</v>
      </c>
      <c r="N551" s="302">
        <f t="shared" si="116"/>
        <v>0</v>
      </c>
    </row>
    <row r="552" spans="1:16" ht="31" hidden="1" customHeight="1" outlineLevel="1" thickBot="1" x14ac:dyDescent="0.3">
      <c r="A552" s="1433"/>
      <c r="B552" s="1431" t="str">
        <f t="shared" si="111"/>
        <v>IDC</v>
      </c>
      <c r="C552" s="1427" t="str">
        <f t="shared" si="111"/>
        <v>MERC/CAPEX/MSPGCL/2023-24/0576</v>
      </c>
      <c r="D552" s="1464">
        <f t="shared" si="111"/>
        <v>45232</v>
      </c>
      <c r="E552" s="1465">
        <f t="shared" si="111"/>
        <v>3.3</v>
      </c>
      <c r="F552" s="302">
        <f t="shared" si="113"/>
        <v>0</v>
      </c>
      <c r="G552" s="302">
        <f t="shared" si="114"/>
        <v>0</v>
      </c>
      <c r="H552" s="302">
        <f t="shared" si="115"/>
        <v>0</v>
      </c>
      <c r="I552" s="1462">
        <v>0</v>
      </c>
      <c r="J552" s="1462">
        <v>0</v>
      </c>
      <c r="K552" s="302"/>
      <c r="L552" s="302"/>
      <c r="M552" s="302">
        <f t="shared" si="112"/>
        <v>0</v>
      </c>
      <c r="N552" s="302">
        <f t="shared" si="116"/>
        <v>0</v>
      </c>
    </row>
    <row r="553" spans="1:16" ht="15.5" hidden="1" customHeight="1" outlineLevel="1" thickBot="1" x14ac:dyDescent="0.3">
      <c r="A553" s="1433"/>
      <c r="B553" s="1431">
        <f t="shared" si="111"/>
        <v>0</v>
      </c>
      <c r="C553" s="1427">
        <f t="shared" si="111"/>
        <v>0</v>
      </c>
      <c r="D553" s="1464">
        <f t="shared" si="111"/>
        <v>0</v>
      </c>
      <c r="E553" s="1465">
        <f t="shared" si="111"/>
        <v>0</v>
      </c>
      <c r="F553" s="302">
        <f t="shared" si="113"/>
        <v>0</v>
      </c>
      <c r="G553" s="302">
        <f t="shared" si="114"/>
        <v>0</v>
      </c>
      <c r="H553" s="302">
        <f t="shared" si="115"/>
        <v>0</v>
      </c>
      <c r="I553" s="1462">
        <v>0</v>
      </c>
      <c r="J553" s="1462">
        <v>0</v>
      </c>
      <c r="K553" s="302"/>
      <c r="L553" s="302"/>
      <c r="M553" s="302">
        <f t="shared" si="112"/>
        <v>0</v>
      </c>
      <c r="N553" s="302">
        <f t="shared" si="116"/>
        <v>0</v>
      </c>
    </row>
    <row r="554" spans="1:16" ht="15.5" hidden="1" customHeight="1" outlineLevel="1" thickBot="1" x14ac:dyDescent="0.3">
      <c r="A554" s="1433"/>
      <c r="B554" s="1431">
        <f t="shared" si="111"/>
        <v>0</v>
      </c>
      <c r="C554" s="1427">
        <f t="shared" si="111"/>
        <v>0</v>
      </c>
      <c r="D554" s="1464">
        <f t="shared" si="111"/>
        <v>0</v>
      </c>
      <c r="E554" s="1465">
        <f t="shared" si="111"/>
        <v>0</v>
      </c>
      <c r="F554" s="302">
        <f t="shared" si="113"/>
        <v>0</v>
      </c>
      <c r="G554" s="302">
        <f t="shared" si="114"/>
        <v>0</v>
      </c>
      <c r="H554" s="302">
        <f t="shared" si="115"/>
        <v>0</v>
      </c>
      <c r="I554" s="1462">
        <v>0</v>
      </c>
      <c r="J554" s="1462">
        <v>0</v>
      </c>
      <c r="K554" s="302"/>
      <c r="L554" s="302"/>
      <c r="M554" s="302">
        <f t="shared" si="112"/>
        <v>0</v>
      </c>
      <c r="N554" s="302">
        <f t="shared" si="116"/>
        <v>0</v>
      </c>
    </row>
    <row r="555" spans="1:16" ht="15.5" hidden="1" customHeight="1" outlineLevel="1" thickBot="1" x14ac:dyDescent="0.3">
      <c r="A555" s="1280"/>
      <c r="B555" s="1329" t="str">
        <f t="shared" si="111"/>
        <v>(ii) Submitted to MERC but yet to be approved</v>
      </c>
      <c r="C555" s="1460">
        <f t="shared" si="111"/>
        <v>0</v>
      </c>
      <c r="D555" s="1464">
        <f t="shared" si="111"/>
        <v>0</v>
      </c>
      <c r="E555" s="1465">
        <f t="shared" si="111"/>
        <v>0</v>
      </c>
      <c r="F555" s="302">
        <f t="shared" si="113"/>
        <v>0</v>
      </c>
      <c r="G555" s="302">
        <f t="shared" si="114"/>
        <v>0</v>
      </c>
      <c r="H555" s="302">
        <f t="shared" si="115"/>
        <v>0</v>
      </c>
      <c r="I555" s="1462">
        <v>0</v>
      </c>
      <c r="J555" s="1462">
        <v>0</v>
      </c>
      <c r="K555" s="302"/>
      <c r="L555" s="302"/>
      <c r="M555" s="302">
        <f t="shared" si="112"/>
        <v>0</v>
      </c>
      <c r="N555" s="302">
        <f t="shared" si="116"/>
        <v>0</v>
      </c>
    </row>
    <row r="556" spans="1:16" ht="15.5" hidden="1" customHeight="1" outlineLevel="1" thickBot="1" x14ac:dyDescent="0.3">
      <c r="A556" s="1280"/>
      <c r="B556" s="1282">
        <f t="shared" si="111"/>
        <v>0</v>
      </c>
      <c r="C556" s="1427">
        <f t="shared" si="111"/>
        <v>0</v>
      </c>
      <c r="D556" s="1464">
        <f t="shared" si="111"/>
        <v>0</v>
      </c>
      <c r="E556" s="1465">
        <f t="shared" si="111"/>
        <v>0</v>
      </c>
      <c r="F556" s="302">
        <f t="shared" si="113"/>
        <v>0</v>
      </c>
      <c r="G556" s="302">
        <f t="shared" si="114"/>
        <v>0</v>
      </c>
      <c r="H556" s="302">
        <f t="shared" si="115"/>
        <v>0</v>
      </c>
      <c r="I556" s="1462">
        <v>0</v>
      </c>
      <c r="J556" s="1462">
        <v>0</v>
      </c>
      <c r="K556" s="302"/>
      <c r="L556" s="302"/>
      <c r="M556" s="302">
        <f t="shared" si="112"/>
        <v>0</v>
      </c>
      <c r="N556" s="302">
        <f t="shared" si="116"/>
        <v>0</v>
      </c>
    </row>
    <row r="557" spans="1:16" ht="15.5" hidden="1" customHeight="1" outlineLevel="1" thickBot="1" x14ac:dyDescent="0.3">
      <c r="A557" s="1301"/>
      <c r="B557" s="1329" t="str">
        <f t="shared" ref="B557:E562" si="117">B462</f>
        <v>(iii) Yet to be submitted to MERC</v>
      </c>
      <c r="C557" s="1460">
        <f t="shared" si="117"/>
        <v>0</v>
      </c>
      <c r="D557" s="1464">
        <f t="shared" si="117"/>
        <v>0</v>
      </c>
      <c r="E557" s="1465">
        <f t="shared" si="117"/>
        <v>0</v>
      </c>
      <c r="F557" s="302">
        <f t="shared" si="113"/>
        <v>0</v>
      </c>
      <c r="G557" s="302">
        <f t="shared" si="114"/>
        <v>0</v>
      </c>
      <c r="H557" s="302">
        <f t="shared" si="115"/>
        <v>0</v>
      </c>
      <c r="I557" s="1462">
        <v>0</v>
      </c>
      <c r="J557" s="1462">
        <v>0</v>
      </c>
      <c r="K557" s="302"/>
      <c r="L557" s="302"/>
      <c r="M557" s="302">
        <f t="shared" si="112"/>
        <v>0</v>
      </c>
      <c r="N557" s="302">
        <f t="shared" si="116"/>
        <v>0</v>
      </c>
    </row>
    <row r="558" spans="1:16" ht="18" hidden="1" customHeight="1" outlineLevel="1" thickBot="1" x14ac:dyDescent="0.3">
      <c r="A558" s="1304"/>
      <c r="B558" s="1305" t="str">
        <f t="shared" si="117"/>
        <v>FY 2026-27</v>
      </c>
      <c r="C558" s="1460">
        <f t="shared" si="117"/>
        <v>0</v>
      </c>
      <c r="D558" s="1464">
        <f t="shared" si="117"/>
        <v>0</v>
      </c>
      <c r="E558" s="1465">
        <f t="shared" si="117"/>
        <v>0</v>
      </c>
      <c r="F558" s="302">
        <f t="shared" si="113"/>
        <v>0</v>
      </c>
      <c r="G558" s="302">
        <f t="shared" si="114"/>
        <v>0</v>
      </c>
      <c r="H558" s="302">
        <f t="shared" si="115"/>
        <v>0</v>
      </c>
      <c r="I558" s="1462">
        <v>0</v>
      </c>
      <c r="J558" s="1462">
        <v>0</v>
      </c>
      <c r="K558" s="302"/>
      <c r="L558" s="302"/>
      <c r="M558" s="302">
        <f t="shared" si="112"/>
        <v>0</v>
      </c>
      <c r="N558" s="302">
        <f t="shared" si="116"/>
        <v>0</v>
      </c>
    </row>
    <row r="559" spans="1:16" ht="31" hidden="1" customHeight="1" outlineLevel="1" thickBot="1" x14ac:dyDescent="0.3">
      <c r="A559" s="1308">
        <f>A464</f>
        <v>1</v>
      </c>
      <c r="B559" s="1425" t="str">
        <f t="shared" si="117"/>
        <v>R&amp;M/LE for Identified Thermal units of MSPGCL  of BTPS U-3 (210 MW)</v>
      </c>
      <c r="C559" s="1460">
        <f t="shared" si="117"/>
        <v>0</v>
      </c>
      <c r="D559" s="1464">
        <f t="shared" si="117"/>
        <v>0</v>
      </c>
      <c r="E559" s="1465">
        <f t="shared" si="117"/>
        <v>0</v>
      </c>
      <c r="F559" s="302">
        <f t="shared" si="113"/>
        <v>0</v>
      </c>
      <c r="G559" s="302">
        <f t="shared" si="114"/>
        <v>0</v>
      </c>
      <c r="H559" s="302">
        <f t="shared" si="115"/>
        <v>0</v>
      </c>
      <c r="I559" s="1462">
        <v>0</v>
      </c>
      <c r="J559" s="1462">
        <v>0</v>
      </c>
      <c r="K559" s="302"/>
      <c r="L559" s="302"/>
      <c r="M559" s="302">
        <f t="shared" si="112"/>
        <v>0</v>
      </c>
      <c r="N559" s="302">
        <f t="shared" si="116"/>
        <v>0</v>
      </c>
    </row>
    <row r="560" spans="1:16" ht="31" hidden="1" customHeight="1" outlineLevel="1" thickBot="1" x14ac:dyDescent="0.3">
      <c r="A560" s="1313">
        <f>A465</f>
        <v>1.1000000000000001</v>
      </c>
      <c r="B560" s="1431" t="str">
        <f t="shared" si="117"/>
        <v>R&amp;M/LE for Identified Thermal units of MSPGCL  of BTPS U-3 (210 MW)</v>
      </c>
      <c r="C560" s="1460">
        <f t="shared" si="117"/>
        <v>0</v>
      </c>
      <c r="D560" s="1464">
        <f t="shared" si="117"/>
        <v>0</v>
      </c>
      <c r="E560" s="1465">
        <f t="shared" si="117"/>
        <v>0</v>
      </c>
      <c r="F560" s="302">
        <f t="shared" si="113"/>
        <v>398</v>
      </c>
      <c r="G560" s="302">
        <f t="shared" si="114"/>
        <v>398</v>
      </c>
      <c r="H560" s="302">
        <f t="shared" si="115"/>
        <v>0</v>
      </c>
      <c r="I560" s="1462">
        <v>0</v>
      </c>
      <c r="J560" s="1462">
        <v>0</v>
      </c>
      <c r="K560" s="302"/>
      <c r="L560" s="302"/>
      <c r="M560" s="302">
        <f t="shared" si="112"/>
        <v>0</v>
      </c>
      <c r="N560" s="302">
        <f t="shared" si="116"/>
        <v>0</v>
      </c>
    </row>
    <row r="561" spans="1:14" ht="15.5" hidden="1" customHeight="1" outlineLevel="1" thickBot="1" x14ac:dyDescent="0.35">
      <c r="A561" s="1301"/>
      <c r="B561" s="265">
        <f t="shared" si="117"/>
        <v>0</v>
      </c>
      <c r="C561" s="1460">
        <f t="shared" si="117"/>
        <v>0</v>
      </c>
      <c r="D561" s="1464">
        <f t="shared" si="117"/>
        <v>0</v>
      </c>
      <c r="E561" s="1465">
        <f t="shared" si="117"/>
        <v>0</v>
      </c>
      <c r="F561" s="302">
        <f t="shared" si="113"/>
        <v>0</v>
      </c>
      <c r="G561" s="302">
        <f t="shared" si="114"/>
        <v>0</v>
      </c>
      <c r="H561" s="302">
        <f t="shared" si="115"/>
        <v>0</v>
      </c>
      <c r="I561" s="1462">
        <v>0</v>
      </c>
      <c r="J561" s="1462">
        <v>0</v>
      </c>
      <c r="K561" s="302"/>
      <c r="L561" s="302"/>
      <c r="M561" s="302">
        <f t="shared" si="112"/>
        <v>0</v>
      </c>
      <c r="N561" s="302">
        <f t="shared" si="116"/>
        <v>0</v>
      </c>
    </row>
    <row r="562" spans="1:14" ht="15.5" hidden="1" customHeight="1" outlineLevel="1" thickBot="1" x14ac:dyDescent="0.35">
      <c r="A562" s="1301"/>
      <c r="B562" s="528" t="str">
        <f t="shared" si="117"/>
        <v>B) Non-DPR Schemes</v>
      </c>
      <c r="C562" s="1427">
        <f t="shared" si="117"/>
        <v>0</v>
      </c>
      <c r="D562" s="1464">
        <f t="shared" si="117"/>
        <v>0</v>
      </c>
      <c r="E562" s="1465">
        <f t="shared" si="117"/>
        <v>0</v>
      </c>
      <c r="F562" s="315">
        <f t="shared" si="113"/>
        <v>0</v>
      </c>
      <c r="G562" s="315">
        <f t="shared" si="114"/>
        <v>0</v>
      </c>
      <c r="H562" s="315">
        <f t="shared" si="115"/>
        <v>0</v>
      </c>
      <c r="I562" s="1462">
        <v>0</v>
      </c>
      <c r="J562" s="1462">
        <v>0</v>
      </c>
      <c r="K562" s="315"/>
      <c r="L562" s="315"/>
      <c r="M562" s="315">
        <f t="shared" si="112"/>
        <v>0</v>
      </c>
      <c r="N562" s="315">
        <f t="shared" si="116"/>
        <v>0</v>
      </c>
    </row>
    <row r="563" spans="1:14" ht="28" hidden="1" customHeight="1" outlineLevel="1" thickBot="1" x14ac:dyDescent="0.35">
      <c r="A563" s="1301">
        <f t="shared" ref="A563:E574" si="118">A468</f>
        <v>1</v>
      </c>
      <c r="B563" s="1315" t="str">
        <f t="shared" si="118"/>
        <v>Design, Supply and Installation for capacity enhancement of conveyor No. 08 at CHP210MW, BTPS.</v>
      </c>
      <c r="C563" s="1427">
        <f t="shared" si="118"/>
        <v>0</v>
      </c>
      <c r="D563" s="1464">
        <f t="shared" si="118"/>
        <v>0</v>
      </c>
      <c r="E563" s="1465">
        <f t="shared" si="118"/>
        <v>0</v>
      </c>
      <c r="F563" s="315">
        <f t="shared" si="113"/>
        <v>1.80009</v>
      </c>
      <c r="G563" s="315">
        <f t="shared" si="114"/>
        <v>1.80009</v>
      </c>
      <c r="H563" s="315">
        <f t="shared" si="115"/>
        <v>0</v>
      </c>
      <c r="I563" s="1462">
        <v>0</v>
      </c>
      <c r="J563" s="1462">
        <v>0</v>
      </c>
      <c r="K563" s="315"/>
      <c r="L563" s="315"/>
      <c r="M563" s="315">
        <f t="shared" si="112"/>
        <v>0</v>
      </c>
      <c r="N563" s="315">
        <f t="shared" si="116"/>
        <v>0</v>
      </c>
    </row>
    <row r="564" spans="1:14" ht="15.5" hidden="1" customHeight="1" outlineLevel="1" thickBot="1" x14ac:dyDescent="0.35">
      <c r="A564" s="1301">
        <f t="shared" si="118"/>
        <v>2</v>
      </c>
      <c r="B564" s="265" t="str">
        <f t="shared" si="118"/>
        <v>SPEAKER &amp; PTZ CAMER</v>
      </c>
      <c r="C564" s="1427">
        <f t="shared" si="118"/>
        <v>0</v>
      </c>
      <c r="D564" s="1464">
        <f t="shared" si="118"/>
        <v>0</v>
      </c>
      <c r="E564" s="1465">
        <f t="shared" si="118"/>
        <v>0</v>
      </c>
      <c r="F564" s="315">
        <f t="shared" si="113"/>
        <v>3.1968099999999999E-2</v>
      </c>
      <c r="G564" s="315">
        <f t="shared" si="114"/>
        <v>3.1968099999999999E-2</v>
      </c>
      <c r="H564" s="315">
        <f t="shared" si="115"/>
        <v>0</v>
      </c>
      <c r="I564" s="1462">
        <v>0</v>
      </c>
      <c r="J564" s="1462">
        <v>0</v>
      </c>
      <c r="K564" s="315"/>
      <c r="L564" s="315"/>
      <c r="M564" s="315">
        <f t="shared" si="112"/>
        <v>0</v>
      </c>
      <c r="N564" s="315">
        <f t="shared" si="116"/>
        <v>0</v>
      </c>
    </row>
    <row r="565" spans="1:14" ht="15.5" hidden="1" customHeight="1" outlineLevel="1" thickBot="1" x14ac:dyDescent="0.35">
      <c r="A565" s="1301">
        <f t="shared" si="118"/>
        <v>3</v>
      </c>
      <c r="B565" s="265" t="str">
        <f t="shared" si="118"/>
        <v>50 INCH TV &amp; 2TN AC</v>
      </c>
      <c r="C565" s="1427">
        <f t="shared" si="118"/>
        <v>0</v>
      </c>
      <c r="D565" s="1464">
        <f t="shared" si="118"/>
        <v>0</v>
      </c>
      <c r="E565" s="1465">
        <f t="shared" si="118"/>
        <v>0</v>
      </c>
      <c r="F565" s="315">
        <f t="shared" si="113"/>
        <v>6.4529699999999995E-2</v>
      </c>
      <c r="G565" s="315">
        <f t="shared" si="114"/>
        <v>6.4529699999999995E-2</v>
      </c>
      <c r="H565" s="315">
        <f t="shared" si="115"/>
        <v>0</v>
      </c>
      <c r="I565" s="1462">
        <v>0</v>
      </c>
      <c r="J565" s="1462">
        <v>0</v>
      </c>
      <c r="K565" s="315"/>
      <c r="L565" s="315"/>
      <c r="M565" s="315">
        <f t="shared" si="112"/>
        <v>0</v>
      </c>
      <c r="N565" s="315">
        <f t="shared" si="116"/>
        <v>0</v>
      </c>
    </row>
    <row r="566" spans="1:14" ht="15.5" hidden="1" customHeight="1" outlineLevel="1" thickBot="1" x14ac:dyDescent="0.35">
      <c r="A566" s="1301">
        <f t="shared" si="118"/>
        <v>4</v>
      </c>
      <c r="B566" s="817" t="str">
        <f t="shared" si="118"/>
        <v>Fixtures &amp; Fitting (10801)</v>
      </c>
      <c r="C566" s="1427">
        <f t="shared" si="118"/>
        <v>0</v>
      </c>
      <c r="D566" s="1464">
        <f t="shared" si="118"/>
        <v>0</v>
      </c>
      <c r="E566" s="1465">
        <f t="shared" si="118"/>
        <v>0</v>
      </c>
      <c r="F566" s="315">
        <f t="shared" si="113"/>
        <v>2.2089600000000001E-2</v>
      </c>
      <c r="G566" s="315">
        <f t="shared" si="114"/>
        <v>2.2089600000000001E-2</v>
      </c>
      <c r="H566" s="315">
        <f t="shared" si="115"/>
        <v>0</v>
      </c>
      <c r="I566" s="1462">
        <v>0</v>
      </c>
      <c r="J566" s="1462">
        <v>0</v>
      </c>
      <c r="K566" s="315"/>
      <c r="L566" s="315"/>
      <c r="M566" s="315">
        <f t="shared" si="112"/>
        <v>0</v>
      </c>
      <c r="N566" s="315">
        <f t="shared" si="116"/>
        <v>0</v>
      </c>
    </row>
    <row r="567" spans="1:14" ht="15.5" hidden="1" customHeight="1" outlineLevel="1" thickBot="1" x14ac:dyDescent="0.35">
      <c r="A567" s="1301">
        <f t="shared" si="118"/>
        <v>5</v>
      </c>
      <c r="B567" s="817" t="str">
        <f t="shared" si="118"/>
        <v>Office equpment (10901)</v>
      </c>
      <c r="C567" s="1427">
        <f t="shared" si="118"/>
        <v>0</v>
      </c>
      <c r="D567" s="1464">
        <f t="shared" si="118"/>
        <v>0</v>
      </c>
      <c r="E567" s="1465">
        <f t="shared" si="118"/>
        <v>0</v>
      </c>
      <c r="F567" s="315">
        <f t="shared" si="113"/>
        <v>0.60696666700000002</v>
      </c>
      <c r="G567" s="315">
        <f t="shared" si="114"/>
        <v>0.60696666700000002</v>
      </c>
      <c r="H567" s="315">
        <f t="shared" si="115"/>
        <v>0</v>
      </c>
      <c r="I567" s="1462">
        <v>0</v>
      </c>
      <c r="J567" s="1462">
        <v>0</v>
      </c>
      <c r="K567" s="315"/>
      <c r="L567" s="315"/>
      <c r="M567" s="315">
        <f t="shared" si="112"/>
        <v>0</v>
      </c>
      <c r="N567" s="315">
        <f t="shared" si="116"/>
        <v>0</v>
      </c>
    </row>
    <row r="568" spans="1:14" ht="15.5" hidden="1" customHeight="1" outlineLevel="1" thickBot="1" x14ac:dyDescent="0.35">
      <c r="A568" s="1301">
        <f t="shared" si="118"/>
        <v>6</v>
      </c>
      <c r="B568" s="265" t="str">
        <f t="shared" si="118"/>
        <v>Gearboxes for CHP Elecon Make</v>
      </c>
      <c r="C568" s="1427">
        <f t="shared" si="118"/>
        <v>0</v>
      </c>
      <c r="D568" s="1464">
        <f t="shared" si="118"/>
        <v>0</v>
      </c>
      <c r="E568" s="1465">
        <f t="shared" si="118"/>
        <v>0</v>
      </c>
      <c r="F568" s="315">
        <f t="shared" si="113"/>
        <v>0.345735079</v>
      </c>
      <c r="G568" s="315">
        <f t="shared" si="114"/>
        <v>0.345735079</v>
      </c>
      <c r="H568" s="315">
        <f t="shared" si="115"/>
        <v>0</v>
      </c>
      <c r="I568" s="1462">
        <v>0</v>
      </c>
      <c r="J568" s="1462">
        <v>0</v>
      </c>
      <c r="K568" s="315"/>
      <c r="L568" s="315"/>
      <c r="M568" s="315">
        <f t="shared" si="112"/>
        <v>0</v>
      </c>
      <c r="N568" s="315">
        <f t="shared" si="116"/>
        <v>0</v>
      </c>
    </row>
    <row r="569" spans="1:14" ht="15.5" hidden="1" customHeight="1" outlineLevel="1" thickBot="1" x14ac:dyDescent="0.4">
      <c r="A569" s="1301">
        <f t="shared" si="118"/>
        <v>7</v>
      </c>
      <c r="B569" s="1319" t="str">
        <f t="shared" si="118"/>
        <v>General Assets</v>
      </c>
      <c r="C569" s="1427">
        <f t="shared" si="118"/>
        <v>0</v>
      </c>
      <c r="D569" s="1464">
        <f t="shared" si="118"/>
        <v>0</v>
      </c>
      <c r="E569" s="1465">
        <f t="shared" si="118"/>
        <v>0</v>
      </c>
      <c r="F569" s="315">
        <f t="shared" si="113"/>
        <v>0</v>
      </c>
      <c r="G569" s="315">
        <f t="shared" si="114"/>
        <v>0</v>
      </c>
      <c r="H569" s="315">
        <f t="shared" si="115"/>
        <v>0</v>
      </c>
      <c r="I569" s="1462">
        <v>0</v>
      </c>
      <c r="J569" s="1462">
        <v>0</v>
      </c>
      <c r="K569" s="315"/>
      <c r="L569" s="315"/>
      <c r="M569" s="315">
        <f t="shared" si="112"/>
        <v>0</v>
      </c>
      <c r="N569" s="315">
        <f t="shared" si="116"/>
        <v>0</v>
      </c>
    </row>
    <row r="570" spans="1:14" ht="15.5" hidden="1" customHeight="1" outlineLevel="1" thickBot="1" x14ac:dyDescent="0.4">
      <c r="A570" s="1301">
        <f t="shared" si="118"/>
        <v>8</v>
      </c>
      <c r="B570" s="1319" t="str">
        <f t="shared" si="118"/>
        <v>Furniture &amp; Fixture</v>
      </c>
      <c r="C570" s="1427">
        <f t="shared" si="118"/>
        <v>0</v>
      </c>
      <c r="D570" s="1464">
        <f t="shared" si="118"/>
        <v>0</v>
      </c>
      <c r="E570" s="1465">
        <f t="shared" si="118"/>
        <v>0</v>
      </c>
      <c r="F570" s="315">
        <f t="shared" si="113"/>
        <v>3.4999940000000002E-3</v>
      </c>
      <c r="G570" s="315">
        <f t="shared" si="114"/>
        <v>9.3499994000000003E-2</v>
      </c>
      <c r="H570" s="315">
        <f t="shared" si="115"/>
        <v>-0.09</v>
      </c>
      <c r="I570" s="1462">
        <v>0</v>
      </c>
      <c r="J570" s="1462">
        <v>0</v>
      </c>
      <c r="K570" s="315"/>
      <c r="L570" s="315"/>
      <c r="M570" s="315">
        <f t="shared" si="112"/>
        <v>0</v>
      </c>
      <c r="N570" s="315">
        <f t="shared" si="116"/>
        <v>-0.09</v>
      </c>
    </row>
    <row r="571" spans="1:14" ht="15.5" hidden="1" customHeight="1" outlineLevel="1" thickBot="1" x14ac:dyDescent="0.4">
      <c r="A571" s="1301">
        <f t="shared" si="118"/>
        <v>9</v>
      </c>
      <c r="B571" s="1319" t="str">
        <f t="shared" si="118"/>
        <v xml:space="preserve">Office Equipment </v>
      </c>
      <c r="C571" s="1427">
        <f t="shared" si="118"/>
        <v>0</v>
      </c>
      <c r="D571" s="1464">
        <f t="shared" si="118"/>
        <v>0</v>
      </c>
      <c r="E571" s="1465">
        <f t="shared" si="118"/>
        <v>0</v>
      </c>
      <c r="F571" s="315">
        <f t="shared" si="113"/>
        <v>0.258863014</v>
      </c>
      <c r="G571" s="315">
        <f t="shared" si="114"/>
        <v>0.258863014</v>
      </c>
      <c r="H571" s="315">
        <f t="shared" si="115"/>
        <v>0</v>
      </c>
      <c r="I571" s="1462">
        <v>0</v>
      </c>
      <c r="J571" s="1462">
        <v>0</v>
      </c>
      <c r="K571" s="315"/>
      <c r="L571" s="315"/>
      <c r="M571" s="315">
        <f t="shared" si="112"/>
        <v>0</v>
      </c>
      <c r="N571" s="315">
        <f t="shared" si="116"/>
        <v>0</v>
      </c>
    </row>
    <row r="572" spans="1:14" ht="15.5" hidden="1" customHeight="1" outlineLevel="1" thickBot="1" x14ac:dyDescent="0.4">
      <c r="A572" s="1301">
        <f t="shared" si="118"/>
        <v>10</v>
      </c>
      <c r="B572" s="1319" t="str">
        <f t="shared" si="118"/>
        <v>Furniture &amp; Fixture</v>
      </c>
      <c r="C572" s="1427">
        <f t="shared" si="118"/>
        <v>0</v>
      </c>
      <c r="D572" s="1464">
        <f t="shared" si="118"/>
        <v>0</v>
      </c>
      <c r="E572" s="1465">
        <f t="shared" si="118"/>
        <v>0</v>
      </c>
      <c r="F572" s="315">
        <f t="shared" si="113"/>
        <v>0.20719743600000001</v>
      </c>
      <c r="G572" s="315">
        <f t="shared" si="114"/>
        <v>0.20719743600000001</v>
      </c>
      <c r="H572" s="315">
        <f t="shared" si="115"/>
        <v>0</v>
      </c>
      <c r="I572" s="1462">
        <v>0</v>
      </c>
      <c r="J572" s="1462">
        <v>0</v>
      </c>
      <c r="K572" s="315"/>
      <c r="L572" s="315"/>
      <c r="M572" s="315">
        <f t="shared" si="112"/>
        <v>0</v>
      </c>
      <c r="N572" s="315">
        <f t="shared" si="116"/>
        <v>0</v>
      </c>
    </row>
    <row r="573" spans="1:14" s="1334" customFormat="1" ht="15.5" hidden="1" customHeight="1" outlineLevel="1" thickBot="1" x14ac:dyDescent="0.4">
      <c r="A573" s="1301">
        <f t="shared" si="118"/>
        <v>11</v>
      </c>
      <c r="B573" s="1319" t="str">
        <f t="shared" si="118"/>
        <v xml:space="preserve">Office Equipment </v>
      </c>
      <c r="C573" s="1427">
        <f t="shared" si="118"/>
        <v>0</v>
      </c>
      <c r="D573" s="1464">
        <f t="shared" si="118"/>
        <v>0</v>
      </c>
      <c r="E573" s="1465">
        <f t="shared" si="118"/>
        <v>0</v>
      </c>
      <c r="F573" s="315">
        <f t="shared" si="113"/>
        <v>6.3896999999999999E-3</v>
      </c>
      <c r="G573" s="315">
        <f t="shared" si="114"/>
        <v>6.3896999999999999E-3</v>
      </c>
      <c r="H573" s="315">
        <f t="shared" si="115"/>
        <v>0</v>
      </c>
      <c r="I573" s="1462">
        <v>0</v>
      </c>
      <c r="J573" s="1462">
        <v>0</v>
      </c>
      <c r="K573" s="315"/>
      <c r="L573" s="315"/>
      <c r="M573" s="315">
        <f t="shared" si="112"/>
        <v>0</v>
      </c>
      <c r="N573" s="315">
        <f t="shared" si="116"/>
        <v>0</v>
      </c>
    </row>
    <row r="574" spans="1:14" s="1334" customFormat="1" ht="16" hidden="1" outlineLevel="1" thickBot="1" x14ac:dyDescent="0.4">
      <c r="A574" s="1301">
        <f t="shared" si="118"/>
        <v>12</v>
      </c>
      <c r="B574" s="1319" t="str">
        <f t="shared" si="118"/>
        <v>Land</v>
      </c>
      <c r="C574" s="1427">
        <f t="shared" si="118"/>
        <v>0</v>
      </c>
      <c r="D574" s="1464">
        <f t="shared" si="118"/>
        <v>0</v>
      </c>
      <c r="E574" s="1465">
        <f t="shared" si="118"/>
        <v>0</v>
      </c>
      <c r="F574" s="315">
        <f t="shared" si="113"/>
        <v>0</v>
      </c>
      <c r="G574" s="315">
        <f t="shared" si="114"/>
        <v>0.19434199999999999</v>
      </c>
      <c r="H574" s="315">
        <f t="shared" si="115"/>
        <v>-0.19434199999999999</v>
      </c>
      <c r="I574" s="1462">
        <v>0</v>
      </c>
      <c r="J574" s="1462">
        <v>0</v>
      </c>
      <c r="K574" s="315"/>
      <c r="L574" s="315"/>
      <c r="M574" s="315">
        <f t="shared" si="112"/>
        <v>0</v>
      </c>
      <c r="N574" s="315">
        <f t="shared" si="116"/>
        <v>-0.19434199999999999</v>
      </c>
    </row>
    <row r="575" spans="1:14" ht="15.5" collapsed="1" thickBot="1" x14ac:dyDescent="0.3">
      <c r="A575" s="1330"/>
      <c r="B575" s="1331" t="str">
        <f>B480</f>
        <v>Total</v>
      </c>
      <c r="C575" s="1332"/>
      <c r="D575" s="1333"/>
      <c r="E575" s="1466"/>
      <c r="F575" s="1466">
        <f>SUM(F485:F574)</f>
        <v>460.3728350946418</v>
      </c>
      <c r="G575" s="1466">
        <f t="shared" ref="G575:N575" si="119">SUM(G485:G574)</f>
        <v>460.65717709464184</v>
      </c>
      <c r="H575" s="1466">
        <f t="shared" si="119"/>
        <v>-0.28434199999999998</v>
      </c>
      <c r="I575" s="1466">
        <f t="shared" si="119"/>
        <v>0</v>
      </c>
      <c r="J575" s="1466">
        <f t="shared" si="119"/>
        <v>0</v>
      </c>
      <c r="K575" s="1466">
        <f t="shared" si="119"/>
        <v>0</v>
      </c>
      <c r="L575" s="1466">
        <f t="shared" si="119"/>
        <v>0</v>
      </c>
      <c r="M575" s="1466">
        <f t="shared" si="119"/>
        <v>0</v>
      </c>
      <c r="N575" s="1466">
        <f t="shared" si="119"/>
        <v>-0.28434199999999998</v>
      </c>
    </row>
    <row r="577" spans="1:16" ht="14.5" thickBot="1" x14ac:dyDescent="0.3">
      <c r="A577" s="1445"/>
      <c r="B577" s="543" t="s">
        <v>1070</v>
      </c>
      <c r="C577" s="1446"/>
      <c r="D577" s="1447"/>
      <c r="E577" s="315"/>
      <c r="F577" s="315"/>
      <c r="G577" s="315"/>
      <c r="H577" s="315"/>
      <c r="I577" s="315"/>
      <c r="J577" s="315"/>
      <c r="K577" s="315"/>
      <c r="L577" s="315"/>
      <c r="M577" s="315"/>
      <c r="N577" s="315"/>
    </row>
    <row r="578" spans="1:16" ht="15" hidden="1" customHeight="1" outlineLevel="1" thickBot="1" x14ac:dyDescent="0.35">
      <c r="A578" s="1280"/>
      <c r="B578" s="1327" t="str">
        <f t="shared" ref="B578:E584" si="120">B483</f>
        <v>a) DPR Schemes</v>
      </c>
      <c r="C578" s="1446"/>
      <c r="D578" s="1447"/>
      <c r="E578" s="315"/>
      <c r="F578" s="315"/>
      <c r="G578" s="315"/>
      <c r="H578" s="315"/>
      <c r="I578" s="315"/>
      <c r="J578" s="315"/>
      <c r="K578" s="315"/>
      <c r="L578" s="315"/>
      <c r="M578" s="315"/>
      <c r="N578" s="315"/>
    </row>
    <row r="579" spans="1:16" ht="14" hidden="1" customHeight="1" outlineLevel="1" thickBot="1" x14ac:dyDescent="0.3">
      <c r="A579" s="1280"/>
      <c r="B579" s="1282" t="str">
        <f t="shared" si="120"/>
        <v>(i) In-principle approved by MERC</v>
      </c>
      <c r="C579" s="1449"/>
      <c r="D579" s="1450"/>
      <c r="E579" s="315"/>
      <c r="F579" s="315"/>
      <c r="G579" s="315"/>
      <c r="H579" s="315"/>
      <c r="I579" s="315"/>
      <c r="J579" s="315"/>
      <c r="K579" s="315"/>
      <c r="L579" s="315"/>
      <c r="M579" s="315"/>
      <c r="N579" s="315"/>
    </row>
    <row r="580" spans="1:16" ht="31" hidden="1" customHeight="1" outlineLevel="1" thickBot="1" x14ac:dyDescent="0.3">
      <c r="A580" s="1406">
        <f>A485</f>
        <v>1</v>
      </c>
      <c r="B580" s="1407" t="str">
        <f t="shared" si="120"/>
        <v>Replacement of economizer &amp; LTSH coils at Unit # 2</v>
      </c>
      <c r="C580" s="1406" t="str">
        <f t="shared" si="120"/>
        <v>MERC/CAPEX/20122013/00179</v>
      </c>
      <c r="D580" s="1451">
        <f t="shared" si="120"/>
        <v>41022</v>
      </c>
      <c r="E580" s="1452">
        <f t="shared" si="120"/>
        <v>10.177999999999999</v>
      </c>
      <c r="F580" s="1452">
        <f t="shared" ref="F580:F643" si="121">F485+I485</f>
        <v>0</v>
      </c>
      <c r="G580" s="1452">
        <f t="shared" ref="G580:G643" si="122">G485+M485</f>
        <v>0</v>
      </c>
      <c r="H580" s="1452">
        <f t="shared" ref="H580:H643" si="123">F580-G580</f>
        <v>0</v>
      </c>
      <c r="I580" s="1452">
        <v>0</v>
      </c>
      <c r="J580" s="1452">
        <v>0</v>
      </c>
      <c r="K580" s="1452"/>
      <c r="L580" s="1452"/>
      <c r="M580" s="1452">
        <f t="shared" ref="M580" si="124">SUM(J580:L580)</f>
        <v>0</v>
      </c>
      <c r="N580" s="1452">
        <f t="shared" ref="N580:N643" si="125">H580+I580-M580</f>
        <v>0</v>
      </c>
      <c r="O580" s="1453">
        <f t="shared" ref="O580:O641" si="126">MAX(0,IF(M580=0,0,IF(G580+M580&lt;E580,M580,E580-G580)))</f>
        <v>0</v>
      </c>
      <c r="P580" s="1328">
        <f t="shared" ref="P580:P641" si="127">M580-O580</f>
        <v>0</v>
      </c>
    </row>
    <row r="581" spans="1:16" ht="15.5" hidden="1" customHeight="1" outlineLevel="1" thickBot="1" x14ac:dyDescent="0.3">
      <c r="A581" s="1411">
        <f>A486</f>
        <v>1.1000000000000001</v>
      </c>
      <c r="B581" s="1412" t="str">
        <f t="shared" si="120"/>
        <v>Replacement of Economiser Coil</v>
      </c>
      <c r="C581" s="1411" t="str">
        <f t="shared" si="120"/>
        <v>MERC/CAPEX/20122013/00179</v>
      </c>
      <c r="D581" s="1454">
        <f t="shared" si="120"/>
        <v>41022</v>
      </c>
      <c r="E581" s="1414">
        <f t="shared" si="120"/>
        <v>3.524</v>
      </c>
      <c r="F581" s="1452">
        <f t="shared" si="121"/>
        <v>3.47</v>
      </c>
      <c r="G581" s="1452">
        <f t="shared" si="122"/>
        <v>3.47</v>
      </c>
      <c r="H581" s="1452">
        <f t="shared" si="123"/>
        <v>0</v>
      </c>
      <c r="I581" s="1452">
        <v>0</v>
      </c>
      <c r="J581" s="1452">
        <v>0</v>
      </c>
      <c r="K581" s="1414"/>
      <c r="L581" s="1414"/>
      <c r="M581" s="1414">
        <f t="shared" ref="M581:M641" si="128">SUM(J581:L581)</f>
        <v>0</v>
      </c>
      <c r="N581" s="1414">
        <f t="shared" si="125"/>
        <v>0</v>
      </c>
      <c r="O581" s="1453">
        <f t="shared" si="126"/>
        <v>0</v>
      </c>
      <c r="P581" s="1328">
        <f t="shared" si="127"/>
        <v>0</v>
      </c>
    </row>
    <row r="582" spans="1:16" ht="15.5" hidden="1" customHeight="1" outlineLevel="1" thickBot="1" x14ac:dyDescent="0.3">
      <c r="A582" s="1411"/>
      <c r="B582" s="1412" t="str">
        <f t="shared" si="120"/>
        <v>IDC</v>
      </c>
      <c r="C582" s="1411" t="str">
        <f t="shared" si="120"/>
        <v>MERC/CAPEX/20122013/00179</v>
      </c>
      <c r="D582" s="1454">
        <f t="shared" si="120"/>
        <v>41022</v>
      </c>
      <c r="E582" s="1414">
        <f t="shared" si="120"/>
        <v>0.20300000000000001</v>
      </c>
      <c r="F582" s="1452">
        <f t="shared" si="121"/>
        <v>0</v>
      </c>
      <c r="G582" s="1452">
        <f t="shared" si="122"/>
        <v>0</v>
      </c>
      <c r="H582" s="1452">
        <f t="shared" si="123"/>
        <v>0</v>
      </c>
      <c r="I582" s="1452">
        <v>0</v>
      </c>
      <c r="J582" s="1452">
        <v>0</v>
      </c>
      <c r="K582" s="1414"/>
      <c r="L582" s="1414"/>
      <c r="M582" s="1414">
        <f t="shared" si="128"/>
        <v>0</v>
      </c>
      <c r="N582" s="1414">
        <f t="shared" si="125"/>
        <v>0</v>
      </c>
      <c r="O582" s="1453">
        <f t="shared" si="126"/>
        <v>0</v>
      </c>
      <c r="P582" s="1328">
        <f t="shared" si="127"/>
        <v>0</v>
      </c>
    </row>
    <row r="583" spans="1:16" ht="15.5" hidden="1" customHeight="1" outlineLevel="1" thickBot="1" x14ac:dyDescent="0.3">
      <c r="A583" s="1411">
        <f>A488</f>
        <v>1.2</v>
      </c>
      <c r="B583" s="1412" t="str">
        <f t="shared" si="120"/>
        <v>Replacement of LTSH Coil</v>
      </c>
      <c r="C583" s="1411" t="str">
        <f t="shared" si="120"/>
        <v>MERC/CAPEX/20122013/00179</v>
      </c>
      <c r="D583" s="1454">
        <f t="shared" si="120"/>
        <v>41022</v>
      </c>
      <c r="E583" s="1414">
        <f t="shared" si="120"/>
        <v>6.0940000000000003</v>
      </c>
      <c r="F583" s="1452">
        <f t="shared" si="121"/>
        <v>5.32</v>
      </c>
      <c r="G583" s="1452">
        <f t="shared" si="122"/>
        <v>5.32</v>
      </c>
      <c r="H583" s="1452">
        <f t="shared" si="123"/>
        <v>0</v>
      </c>
      <c r="I583" s="1452">
        <v>0</v>
      </c>
      <c r="J583" s="1452">
        <v>0</v>
      </c>
      <c r="K583" s="1414"/>
      <c r="L583" s="1414"/>
      <c r="M583" s="1414">
        <f t="shared" si="128"/>
        <v>0</v>
      </c>
      <c r="N583" s="1414">
        <f t="shared" si="125"/>
        <v>0</v>
      </c>
      <c r="O583" s="1453">
        <f t="shared" si="126"/>
        <v>0</v>
      </c>
      <c r="P583" s="1328">
        <f t="shared" si="127"/>
        <v>0</v>
      </c>
    </row>
    <row r="584" spans="1:16" ht="15.5" hidden="1" customHeight="1" outlineLevel="1" thickBot="1" x14ac:dyDescent="0.3">
      <c r="A584" s="1411"/>
      <c r="B584" s="1412" t="str">
        <f t="shared" si="120"/>
        <v>IDC</v>
      </c>
      <c r="C584" s="1411" t="str">
        <f t="shared" si="120"/>
        <v>MERC/CAPEX/20122013/00179</v>
      </c>
      <c r="D584" s="1454">
        <f t="shared" si="120"/>
        <v>41022</v>
      </c>
      <c r="E584" s="1414">
        <f t="shared" si="120"/>
        <v>0.35699999999999998</v>
      </c>
      <c r="F584" s="1452">
        <f t="shared" si="121"/>
        <v>0</v>
      </c>
      <c r="G584" s="1452">
        <f t="shared" si="122"/>
        <v>0</v>
      </c>
      <c r="H584" s="1452">
        <f t="shared" si="123"/>
        <v>0</v>
      </c>
      <c r="I584" s="1452">
        <v>0</v>
      </c>
      <c r="J584" s="1452">
        <v>0</v>
      </c>
      <c r="K584" s="1414"/>
      <c r="L584" s="1414"/>
      <c r="M584" s="1414">
        <f t="shared" si="128"/>
        <v>0</v>
      </c>
      <c r="N584" s="1414">
        <f t="shared" si="125"/>
        <v>0</v>
      </c>
      <c r="O584" s="1453">
        <f t="shared" si="126"/>
        <v>0</v>
      </c>
      <c r="P584" s="1328">
        <f t="shared" si="127"/>
        <v>0</v>
      </c>
    </row>
    <row r="585" spans="1:16" ht="31" hidden="1" customHeight="1" outlineLevel="1" thickBot="1" x14ac:dyDescent="0.3">
      <c r="A585" s="1406">
        <f t="shared" ref="A585:E593" si="129">A490</f>
        <v>2</v>
      </c>
      <c r="B585" s="1407" t="str">
        <f t="shared" si="129"/>
        <v>Boiler and Turbine improvement
(Station Heat Rate Improvement)</v>
      </c>
      <c r="C585" s="1406" t="str">
        <f t="shared" si="129"/>
        <v>MERC/TECH 1/CAPEX/20122013/02325</v>
      </c>
      <c r="D585" s="1451">
        <f t="shared" si="129"/>
        <v>41285</v>
      </c>
      <c r="E585" s="1452">
        <f t="shared" si="129"/>
        <v>16.783805100000002</v>
      </c>
      <c r="F585" s="1452">
        <f t="shared" si="121"/>
        <v>0</v>
      </c>
      <c r="G585" s="1452">
        <f t="shared" si="122"/>
        <v>0</v>
      </c>
      <c r="H585" s="1452">
        <f t="shared" si="123"/>
        <v>0</v>
      </c>
      <c r="I585" s="1452">
        <v>0</v>
      </c>
      <c r="J585" s="1452">
        <v>0</v>
      </c>
      <c r="K585" s="1452"/>
      <c r="L585" s="1452"/>
      <c r="M585" s="1452">
        <f t="shared" si="128"/>
        <v>0</v>
      </c>
      <c r="N585" s="1452">
        <f t="shared" si="125"/>
        <v>0</v>
      </c>
      <c r="O585" s="1453">
        <f t="shared" si="126"/>
        <v>0</v>
      </c>
      <c r="P585" s="1328">
        <f t="shared" si="127"/>
        <v>0</v>
      </c>
    </row>
    <row r="586" spans="1:16" ht="31" hidden="1" customHeight="1" outlineLevel="1" thickBot="1" x14ac:dyDescent="0.3">
      <c r="A586" s="1411">
        <f t="shared" si="129"/>
        <v>2.1</v>
      </c>
      <c r="B586" s="1412" t="str">
        <f t="shared" si="129"/>
        <v>Vent condenser performance improvement by replacement of eroded tube nest by unit 3.</v>
      </c>
      <c r="C586" s="1411" t="str">
        <f t="shared" si="129"/>
        <v>MERC/TECH 1/CAPEX/20122013/02325</v>
      </c>
      <c r="D586" s="1454">
        <f t="shared" si="129"/>
        <v>41285</v>
      </c>
      <c r="E586" s="1414">
        <f t="shared" si="129"/>
        <v>0.28599999999999998</v>
      </c>
      <c r="F586" s="1452">
        <f t="shared" si="121"/>
        <v>0</v>
      </c>
      <c r="G586" s="1452">
        <f t="shared" si="122"/>
        <v>0</v>
      </c>
      <c r="H586" s="1452">
        <f t="shared" si="123"/>
        <v>0</v>
      </c>
      <c r="I586" s="1452">
        <v>0</v>
      </c>
      <c r="J586" s="1452">
        <v>0</v>
      </c>
      <c r="K586" s="1414"/>
      <c r="L586" s="1414"/>
      <c r="M586" s="1414">
        <f t="shared" si="128"/>
        <v>0</v>
      </c>
      <c r="N586" s="1414">
        <f t="shared" si="125"/>
        <v>0</v>
      </c>
      <c r="O586" s="1453">
        <f t="shared" si="126"/>
        <v>0</v>
      </c>
      <c r="P586" s="1328">
        <f t="shared" si="127"/>
        <v>0</v>
      </c>
    </row>
    <row r="587" spans="1:16" ht="31" hidden="1" customHeight="1" outlineLevel="1" thickBot="1" x14ac:dyDescent="0.3">
      <c r="A587" s="1411">
        <f t="shared" si="129"/>
        <v>2.2000000000000002</v>
      </c>
      <c r="B587" s="1412" t="str">
        <f t="shared" si="129"/>
        <v>Replacement of major extraction valves &amp;NRVs of unit 3</v>
      </c>
      <c r="C587" s="1411" t="str">
        <f t="shared" si="129"/>
        <v>MERC/TECH 1/CAPEX/20122013/02325</v>
      </c>
      <c r="D587" s="1454">
        <f t="shared" si="129"/>
        <v>41285</v>
      </c>
      <c r="E587" s="1414">
        <f t="shared" si="129"/>
        <v>0.51900000000000002</v>
      </c>
      <c r="F587" s="1452">
        <f t="shared" si="121"/>
        <v>0</v>
      </c>
      <c r="G587" s="1452">
        <f t="shared" si="122"/>
        <v>0</v>
      </c>
      <c r="H587" s="1452">
        <f t="shared" si="123"/>
        <v>0</v>
      </c>
      <c r="I587" s="1452">
        <v>0</v>
      </c>
      <c r="J587" s="1452">
        <v>0</v>
      </c>
      <c r="K587" s="1414"/>
      <c r="L587" s="1414"/>
      <c r="M587" s="1414">
        <f t="shared" si="128"/>
        <v>0</v>
      </c>
      <c r="N587" s="1414">
        <f t="shared" si="125"/>
        <v>0</v>
      </c>
      <c r="O587" s="1453">
        <f t="shared" si="126"/>
        <v>0</v>
      </c>
      <c r="P587" s="1328">
        <f t="shared" si="127"/>
        <v>0</v>
      </c>
    </row>
    <row r="588" spans="1:16" ht="31" hidden="1" customHeight="1" outlineLevel="1" thickBot="1" x14ac:dyDescent="0.3">
      <c r="A588" s="1411">
        <f t="shared" si="129"/>
        <v>2.2999999999999998</v>
      </c>
      <c r="B588" s="1412" t="str">
        <f t="shared" si="129"/>
        <v>60% replacement of boiler skin insulation (Unit 2)</v>
      </c>
      <c r="C588" s="1411" t="str">
        <f t="shared" si="129"/>
        <v>MERC/TECH 1/CAPEX/20122013/02325</v>
      </c>
      <c r="D588" s="1454">
        <f t="shared" si="129"/>
        <v>41285</v>
      </c>
      <c r="E588" s="1414">
        <f t="shared" si="129"/>
        <v>0.29299999999999998</v>
      </c>
      <c r="F588" s="1452">
        <f t="shared" si="121"/>
        <v>0</v>
      </c>
      <c r="G588" s="1452">
        <f t="shared" si="122"/>
        <v>0</v>
      </c>
      <c r="H588" s="1452">
        <f t="shared" si="123"/>
        <v>0</v>
      </c>
      <c r="I588" s="1452">
        <v>0</v>
      </c>
      <c r="J588" s="1452">
        <v>0</v>
      </c>
      <c r="K588" s="1414"/>
      <c r="L588" s="1414"/>
      <c r="M588" s="1414">
        <f t="shared" si="128"/>
        <v>0</v>
      </c>
      <c r="N588" s="1414">
        <f t="shared" si="125"/>
        <v>0</v>
      </c>
      <c r="O588" s="1453">
        <f t="shared" si="126"/>
        <v>0</v>
      </c>
      <c r="P588" s="1328">
        <f t="shared" si="127"/>
        <v>0</v>
      </c>
    </row>
    <row r="589" spans="1:16" ht="31" hidden="1" customHeight="1" outlineLevel="1" thickBot="1" x14ac:dyDescent="0.3">
      <c r="A589" s="1411">
        <f t="shared" si="129"/>
        <v>2.4</v>
      </c>
      <c r="B589" s="1412" t="str">
        <f t="shared" si="129"/>
        <v>Replacement of DM make up ( unit 3) and GSH water pump.( units 2 &amp;3)</v>
      </c>
      <c r="C589" s="1411" t="str">
        <f t="shared" si="129"/>
        <v>MERC/TECH 1/CAPEX/20122013/02325</v>
      </c>
      <c r="D589" s="1454">
        <f t="shared" si="129"/>
        <v>41285</v>
      </c>
      <c r="E589" s="1414">
        <f t="shared" si="129"/>
        <v>0.20599999999999999</v>
      </c>
      <c r="F589" s="1452">
        <f t="shared" si="121"/>
        <v>0.26354099999999997</v>
      </c>
      <c r="G589" s="1452">
        <f t="shared" si="122"/>
        <v>0.26354099999999997</v>
      </c>
      <c r="H589" s="1452">
        <f t="shared" si="123"/>
        <v>0</v>
      </c>
      <c r="I589" s="1452">
        <v>0</v>
      </c>
      <c r="J589" s="1452">
        <v>0</v>
      </c>
      <c r="K589" s="1414"/>
      <c r="L589" s="1414"/>
      <c r="M589" s="1414">
        <f t="shared" si="128"/>
        <v>0</v>
      </c>
      <c r="N589" s="1414">
        <f t="shared" si="125"/>
        <v>0</v>
      </c>
      <c r="O589" s="1453">
        <f t="shared" si="126"/>
        <v>0</v>
      </c>
      <c r="P589" s="1328">
        <f t="shared" si="127"/>
        <v>0</v>
      </c>
    </row>
    <row r="590" spans="1:16" ht="31" hidden="1" customHeight="1" outlineLevel="1" thickBot="1" x14ac:dyDescent="0.3">
      <c r="A590" s="1411">
        <f t="shared" si="129"/>
        <v>2.5</v>
      </c>
      <c r="B590" s="1412" t="str">
        <f t="shared" si="129"/>
        <v>Replacement of LTSH coils (unit 3)</v>
      </c>
      <c r="C590" s="1411" t="str">
        <f t="shared" si="129"/>
        <v>MERC/TECH 1/CAPEX/20122013/02325</v>
      </c>
      <c r="D590" s="1454">
        <f t="shared" si="129"/>
        <v>41285</v>
      </c>
      <c r="E590" s="1414">
        <f t="shared" si="129"/>
        <v>8.3689999999999998</v>
      </c>
      <c r="F590" s="1452">
        <f t="shared" si="121"/>
        <v>5.319992955</v>
      </c>
      <c r="G590" s="1452">
        <f t="shared" si="122"/>
        <v>5.319992955</v>
      </c>
      <c r="H590" s="1452">
        <f t="shared" si="123"/>
        <v>0</v>
      </c>
      <c r="I590" s="1452">
        <v>0</v>
      </c>
      <c r="J590" s="1452">
        <v>0</v>
      </c>
      <c r="K590" s="1414"/>
      <c r="L590" s="1414"/>
      <c r="M590" s="1414">
        <f t="shared" si="128"/>
        <v>0</v>
      </c>
      <c r="N590" s="1414">
        <f t="shared" si="125"/>
        <v>0</v>
      </c>
      <c r="O590" s="1453">
        <f t="shared" si="126"/>
        <v>0</v>
      </c>
      <c r="P590" s="1328">
        <f t="shared" si="127"/>
        <v>0</v>
      </c>
    </row>
    <row r="591" spans="1:16" ht="31" hidden="1" customHeight="1" outlineLevel="1" thickBot="1" x14ac:dyDescent="0.3">
      <c r="A591" s="1411">
        <f t="shared" si="129"/>
        <v>2.6</v>
      </c>
      <c r="B591" s="1412" t="str">
        <f t="shared" si="129"/>
        <v>Replacement of ECO coils (unit 3)</v>
      </c>
      <c r="C591" s="1411" t="str">
        <f t="shared" si="129"/>
        <v>MERC/TECH 1/CAPEX/20122013/02325</v>
      </c>
      <c r="D591" s="1454">
        <f t="shared" si="129"/>
        <v>41285</v>
      </c>
      <c r="E591" s="1414">
        <f t="shared" si="129"/>
        <v>6.032</v>
      </c>
      <c r="F591" s="1452">
        <f t="shared" si="121"/>
        <v>3.47281854</v>
      </c>
      <c r="G591" s="1452">
        <f t="shared" si="122"/>
        <v>3.47281854</v>
      </c>
      <c r="H591" s="1452">
        <f t="shared" si="123"/>
        <v>0</v>
      </c>
      <c r="I591" s="1452">
        <v>0</v>
      </c>
      <c r="J591" s="1452">
        <v>0</v>
      </c>
      <c r="K591" s="1414"/>
      <c r="L591" s="1414"/>
      <c r="M591" s="1414">
        <f t="shared" si="128"/>
        <v>0</v>
      </c>
      <c r="N591" s="1414">
        <f t="shared" si="125"/>
        <v>0</v>
      </c>
      <c r="O591" s="1453">
        <f t="shared" si="126"/>
        <v>0</v>
      </c>
      <c r="P591" s="1328">
        <f t="shared" si="127"/>
        <v>0</v>
      </c>
    </row>
    <row r="592" spans="1:16" ht="31" hidden="1" customHeight="1" outlineLevel="1" thickBot="1" x14ac:dyDescent="0.3">
      <c r="A592" s="1411">
        <f t="shared" si="129"/>
        <v>2.7</v>
      </c>
      <c r="B592" s="1412" t="str">
        <f t="shared" si="129"/>
        <v>Replacement of old LT AHP pump impeller by energy efficient stainless steel impeller</v>
      </c>
      <c r="C592" s="1411" t="str">
        <f t="shared" si="129"/>
        <v>MERC/TECH 1/CAPEX/20122013/02325</v>
      </c>
      <c r="D592" s="1454">
        <f t="shared" si="129"/>
        <v>41285</v>
      </c>
      <c r="E592" s="1414">
        <f t="shared" si="129"/>
        <v>0.1488051</v>
      </c>
      <c r="F592" s="1452">
        <f t="shared" si="121"/>
        <v>0.1488051</v>
      </c>
      <c r="G592" s="1452">
        <f t="shared" si="122"/>
        <v>0.1488051</v>
      </c>
      <c r="H592" s="1452">
        <f t="shared" si="123"/>
        <v>0</v>
      </c>
      <c r="I592" s="1452">
        <v>0</v>
      </c>
      <c r="J592" s="1452">
        <v>0</v>
      </c>
      <c r="K592" s="1414"/>
      <c r="L592" s="1414"/>
      <c r="M592" s="1414">
        <f t="shared" si="128"/>
        <v>0</v>
      </c>
      <c r="N592" s="1414">
        <f t="shared" si="125"/>
        <v>0</v>
      </c>
      <c r="O592" s="1453">
        <f t="shared" si="126"/>
        <v>0</v>
      </c>
      <c r="P592" s="1328">
        <f t="shared" si="127"/>
        <v>0</v>
      </c>
    </row>
    <row r="593" spans="1:16" ht="31" hidden="1" customHeight="1" outlineLevel="1" thickBot="1" x14ac:dyDescent="0.3">
      <c r="A593" s="1416"/>
      <c r="B593" s="1412" t="str">
        <f t="shared" si="129"/>
        <v>IDC</v>
      </c>
      <c r="C593" s="1411" t="str">
        <f t="shared" si="129"/>
        <v>MERC/TECH 1/CAPEX/20122013/02325</v>
      </c>
      <c r="D593" s="1454">
        <f t="shared" si="129"/>
        <v>41285</v>
      </c>
      <c r="E593" s="1455">
        <f t="shared" si="129"/>
        <v>0.93</v>
      </c>
      <c r="F593" s="1452">
        <f t="shared" si="121"/>
        <v>0</v>
      </c>
      <c r="G593" s="1452">
        <f t="shared" si="122"/>
        <v>0</v>
      </c>
      <c r="H593" s="1452">
        <f t="shared" si="123"/>
        <v>0</v>
      </c>
      <c r="I593" s="1452">
        <v>0</v>
      </c>
      <c r="J593" s="1452">
        <v>0</v>
      </c>
      <c r="K593" s="1455"/>
      <c r="L593" s="1455"/>
      <c r="M593" s="1455">
        <f t="shared" si="128"/>
        <v>0</v>
      </c>
      <c r="N593" s="1455">
        <f t="shared" si="125"/>
        <v>0</v>
      </c>
      <c r="O593" s="1453">
        <f t="shared" si="126"/>
        <v>0</v>
      </c>
      <c r="P593" s="1328">
        <f t="shared" si="127"/>
        <v>0</v>
      </c>
    </row>
    <row r="594" spans="1:16" ht="31" hidden="1" customHeight="1" outlineLevel="1" thickBot="1" x14ac:dyDescent="0.3">
      <c r="A594" s="1406">
        <f t="shared" ref="A594:E609" si="130">A499</f>
        <v>3</v>
      </c>
      <c r="B594" s="1407" t="str">
        <f t="shared" si="130"/>
        <v>Measuring and Monitoring of Coal consumption</v>
      </c>
      <c r="C594" s="1406" t="str">
        <f t="shared" si="130"/>
        <v>MERC/CAPEX/20122013/00912</v>
      </c>
      <c r="D594" s="1451">
        <f t="shared" si="130"/>
        <v>41114</v>
      </c>
      <c r="E594" s="1452">
        <f t="shared" si="130"/>
        <v>45.918030000000002</v>
      </c>
      <c r="F594" s="1452">
        <f t="shared" si="121"/>
        <v>0</v>
      </c>
      <c r="G594" s="1452">
        <f t="shared" si="122"/>
        <v>0</v>
      </c>
      <c r="H594" s="1452">
        <f t="shared" si="123"/>
        <v>0</v>
      </c>
      <c r="I594" s="1452">
        <v>0</v>
      </c>
      <c r="J594" s="1452">
        <v>0</v>
      </c>
      <c r="K594" s="1452"/>
      <c r="L594" s="1452"/>
      <c r="M594" s="1452">
        <f t="shared" si="128"/>
        <v>0</v>
      </c>
      <c r="N594" s="1452">
        <f t="shared" si="125"/>
        <v>0</v>
      </c>
      <c r="O594" s="1453">
        <f t="shared" si="126"/>
        <v>0</v>
      </c>
      <c r="P594" s="1328">
        <f t="shared" si="127"/>
        <v>0</v>
      </c>
    </row>
    <row r="595" spans="1:16" ht="15.5" hidden="1" customHeight="1" outlineLevel="1" thickBot="1" x14ac:dyDescent="0.3">
      <c r="A595" s="1416">
        <f t="shared" si="130"/>
        <v>3.1</v>
      </c>
      <c r="B595" s="1412" t="str">
        <f t="shared" si="130"/>
        <v>Belt Weighers</v>
      </c>
      <c r="C595" s="1416" t="str">
        <f t="shared" si="130"/>
        <v>MERC/CAPEX/20122013/00912</v>
      </c>
      <c r="D595" s="1456">
        <f t="shared" si="130"/>
        <v>41114</v>
      </c>
      <c r="E595" s="1414">
        <f t="shared" si="130"/>
        <v>0.8044</v>
      </c>
      <c r="F595" s="1452">
        <f t="shared" si="121"/>
        <v>0</v>
      </c>
      <c r="G595" s="1452">
        <f t="shared" si="122"/>
        <v>0</v>
      </c>
      <c r="H595" s="1452">
        <f t="shared" si="123"/>
        <v>0</v>
      </c>
      <c r="I595" s="1452">
        <v>0</v>
      </c>
      <c r="J595" s="1452">
        <v>0</v>
      </c>
      <c r="K595" s="1414"/>
      <c r="L595" s="1414"/>
      <c r="M595" s="1414">
        <f t="shared" si="128"/>
        <v>0</v>
      </c>
      <c r="N595" s="1414">
        <f t="shared" si="125"/>
        <v>0</v>
      </c>
      <c r="O595" s="1453">
        <f t="shared" si="126"/>
        <v>0</v>
      </c>
      <c r="P595" s="1328">
        <f t="shared" si="127"/>
        <v>0</v>
      </c>
    </row>
    <row r="596" spans="1:16" ht="15.5" hidden="1" customHeight="1" outlineLevel="1" thickBot="1" x14ac:dyDescent="0.3">
      <c r="A596" s="1416">
        <f t="shared" si="130"/>
        <v>3.2</v>
      </c>
      <c r="B596" s="1412" t="str">
        <f t="shared" si="130"/>
        <v xml:space="preserve">Fully automatic pit-less in motion weigh bridges </v>
      </c>
      <c r="C596" s="1416" t="str">
        <f t="shared" si="130"/>
        <v>MERC/CAPEX/20122013/00912</v>
      </c>
      <c r="D596" s="1456">
        <f t="shared" si="130"/>
        <v>41114</v>
      </c>
      <c r="E596" s="1414">
        <f t="shared" si="130"/>
        <v>0.41149999999999998</v>
      </c>
      <c r="F596" s="1452">
        <f t="shared" si="121"/>
        <v>0</v>
      </c>
      <c r="G596" s="1452">
        <f t="shared" si="122"/>
        <v>0</v>
      </c>
      <c r="H596" s="1452">
        <f t="shared" si="123"/>
        <v>0</v>
      </c>
      <c r="I596" s="1452">
        <v>0</v>
      </c>
      <c r="J596" s="1452">
        <v>0</v>
      </c>
      <c r="K596" s="1414"/>
      <c r="L596" s="1414"/>
      <c r="M596" s="1414">
        <f t="shared" si="128"/>
        <v>0</v>
      </c>
      <c r="N596" s="1414">
        <f t="shared" si="125"/>
        <v>0</v>
      </c>
      <c r="O596" s="1453">
        <f t="shared" si="126"/>
        <v>0</v>
      </c>
      <c r="P596" s="1328">
        <f t="shared" si="127"/>
        <v>0</v>
      </c>
    </row>
    <row r="597" spans="1:16" ht="15.5" hidden="1" customHeight="1" outlineLevel="1" thickBot="1" x14ac:dyDescent="0.3">
      <c r="A597" s="1416">
        <f t="shared" si="130"/>
        <v>3.3</v>
      </c>
      <c r="B597" s="1412" t="str">
        <f t="shared" si="130"/>
        <v>Installation side arm charger for Wagon tippler 1A &amp; 1B</v>
      </c>
      <c r="C597" s="1416" t="str">
        <f t="shared" si="130"/>
        <v>MERC/CAPEX/20122013/00912</v>
      </c>
      <c r="D597" s="1456">
        <f t="shared" si="130"/>
        <v>41114</v>
      </c>
      <c r="E597" s="1414">
        <f t="shared" si="130"/>
        <v>21.96</v>
      </c>
      <c r="F597" s="1452">
        <f t="shared" si="121"/>
        <v>0</v>
      </c>
      <c r="G597" s="1452">
        <f t="shared" si="122"/>
        <v>0</v>
      </c>
      <c r="H597" s="1452">
        <f t="shared" si="123"/>
        <v>0</v>
      </c>
      <c r="I597" s="1452">
        <v>0</v>
      </c>
      <c r="J597" s="1452">
        <v>0</v>
      </c>
      <c r="K597" s="1414"/>
      <c r="L597" s="1414"/>
      <c r="M597" s="1414">
        <f t="shared" si="128"/>
        <v>0</v>
      </c>
      <c r="N597" s="1414">
        <f t="shared" si="125"/>
        <v>0</v>
      </c>
      <c r="O597" s="1453">
        <f t="shared" si="126"/>
        <v>0</v>
      </c>
      <c r="P597" s="1328">
        <f t="shared" si="127"/>
        <v>0</v>
      </c>
    </row>
    <row r="598" spans="1:16" ht="31" hidden="1" customHeight="1" outlineLevel="1" thickBot="1" x14ac:dyDescent="0.3">
      <c r="A598" s="1416">
        <f t="shared" si="130"/>
        <v>3.4</v>
      </c>
      <c r="B598" s="1412" t="str">
        <f t="shared" si="130"/>
        <v>Dust Extraction System at Secondary Crusher house &amp; Conveyor 6A/B at stage II CHP</v>
      </c>
      <c r="C598" s="1416" t="str">
        <f t="shared" si="130"/>
        <v>MERC/CAPEX/20122013/00912</v>
      </c>
      <c r="D598" s="1456">
        <f t="shared" si="130"/>
        <v>41114</v>
      </c>
      <c r="E598" s="1414">
        <f t="shared" si="130"/>
        <v>2.0714999999999999</v>
      </c>
      <c r="F598" s="1452">
        <f t="shared" si="121"/>
        <v>0</v>
      </c>
      <c r="G598" s="1452">
        <f t="shared" si="122"/>
        <v>0</v>
      </c>
      <c r="H598" s="1452">
        <f t="shared" si="123"/>
        <v>0</v>
      </c>
      <c r="I598" s="1452">
        <v>0</v>
      </c>
      <c r="J598" s="1452">
        <v>0</v>
      </c>
      <c r="K598" s="1414"/>
      <c r="L598" s="1414"/>
      <c r="M598" s="1414">
        <f t="shared" si="128"/>
        <v>0</v>
      </c>
      <c r="N598" s="1414">
        <f t="shared" si="125"/>
        <v>0</v>
      </c>
      <c r="O598" s="1453">
        <f t="shared" si="126"/>
        <v>0</v>
      </c>
      <c r="P598" s="1328">
        <f t="shared" si="127"/>
        <v>0</v>
      </c>
    </row>
    <row r="599" spans="1:16" ht="93" hidden="1" customHeight="1" outlineLevel="1" thickBot="1" x14ac:dyDescent="0.3">
      <c r="A599" s="1416">
        <f t="shared" si="130"/>
        <v>3.5</v>
      </c>
      <c r="B599" s="1412" t="str">
        <f t="shared" si="130"/>
        <v>Fogging system at 
a) WT old along with PCR, SCR and bunker level belt at Stage I CHP
b) Conveyor 7A/B
c) 100 Mtrx100 Mtr Coal stock area
d) 200 Mtrx200 Mtr Coal stock area</v>
      </c>
      <c r="C599" s="1416" t="str">
        <f t="shared" si="130"/>
        <v>MERC/CAPEX/20122013/00912</v>
      </c>
      <c r="D599" s="1456">
        <f t="shared" si="130"/>
        <v>41114</v>
      </c>
      <c r="E599" s="1414">
        <f t="shared" si="130"/>
        <v>2.2831000000000001</v>
      </c>
      <c r="F599" s="1452">
        <f t="shared" si="121"/>
        <v>0.4695358</v>
      </c>
      <c r="G599" s="1452">
        <f t="shared" si="122"/>
        <v>0.4695358</v>
      </c>
      <c r="H599" s="1452">
        <f t="shared" si="123"/>
        <v>0</v>
      </c>
      <c r="I599" s="1452">
        <v>0</v>
      </c>
      <c r="J599" s="1452">
        <v>0</v>
      </c>
      <c r="K599" s="1414"/>
      <c r="L599" s="1414"/>
      <c r="M599" s="1414">
        <f t="shared" si="128"/>
        <v>0</v>
      </c>
      <c r="N599" s="1414">
        <f t="shared" si="125"/>
        <v>0</v>
      </c>
      <c r="O599" s="1453">
        <f t="shared" si="126"/>
        <v>0</v>
      </c>
      <c r="P599" s="1328">
        <f t="shared" si="127"/>
        <v>0</v>
      </c>
    </row>
    <row r="600" spans="1:16" ht="15.5" hidden="1" customHeight="1" outlineLevel="1" thickBot="1" x14ac:dyDescent="0.3">
      <c r="A600" s="1416">
        <f t="shared" si="130"/>
        <v>3.6</v>
      </c>
      <c r="B600" s="1412" t="str">
        <f t="shared" si="130"/>
        <v xml:space="preserve">Bunker level montoring system for 12 bunkers </v>
      </c>
      <c r="C600" s="1416" t="str">
        <f t="shared" si="130"/>
        <v>MERC/CAPEX/20122013/00912</v>
      </c>
      <c r="D600" s="1456">
        <f t="shared" si="130"/>
        <v>41114</v>
      </c>
      <c r="E600" s="1414">
        <f t="shared" si="130"/>
        <v>2.5038</v>
      </c>
      <c r="F600" s="1452">
        <f t="shared" si="121"/>
        <v>0</v>
      </c>
      <c r="G600" s="1452">
        <f t="shared" si="122"/>
        <v>0</v>
      </c>
      <c r="H600" s="1452">
        <f t="shared" si="123"/>
        <v>0</v>
      </c>
      <c r="I600" s="1452">
        <v>0</v>
      </c>
      <c r="J600" s="1452">
        <v>0</v>
      </c>
      <c r="K600" s="1414"/>
      <c r="L600" s="1414"/>
      <c r="M600" s="1414">
        <f t="shared" si="128"/>
        <v>0</v>
      </c>
      <c r="N600" s="1414">
        <f t="shared" si="125"/>
        <v>0</v>
      </c>
      <c r="O600" s="1453">
        <f t="shared" si="126"/>
        <v>0</v>
      </c>
      <c r="P600" s="1328">
        <f t="shared" si="127"/>
        <v>0</v>
      </c>
    </row>
    <row r="601" spans="1:16" ht="15.5" hidden="1" customHeight="1" outlineLevel="1" thickBot="1" x14ac:dyDescent="0.3">
      <c r="A601" s="1416">
        <f t="shared" si="130"/>
        <v>3.7</v>
      </c>
      <c r="B601" s="1412" t="str">
        <f t="shared" si="130"/>
        <v xml:space="preserve">Rotary pneumatic or electrical hammers </v>
      </c>
      <c r="C601" s="1416" t="str">
        <f t="shared" si="130"/>
        <v>MERC/CAPEX/20122013/00912</v>
      </c>
      <c r="D601" s="1456">
        <f t="shared" si="130"/>
        <v>41114</v>
      </c>
      <c r="E601" s="1414">
        <f t="shared" si="130"/>
        <v>9.7000000000000003E-2</v>
      </c>
      <c r="F601" s="1452">
        <f t="shared" si="121"/>
        <v>0</v>
      </c>
      <c r="G601" s="1452">
        <f t="shared" si="122"/>
        <v>0</v>
      </c>
      <c r="H601" s="1452">
        <f t="shared" si="123"/>
        <v>0</v>
      </c>
      <c r="I601" s="1452">
        <v>0</v>
      </c>
      <c r="J601" s="1452">
        <v>0</v>
      </c>
      <c r="K601" s="1414"/>
      <c r="L601" s="1414"/>
      <c r="M601" s="1414">
        <f t="shared" si="128"/>
        <v>0</v>
      </c>
      <c r="N601" s="1414">
        <f t="shared" si="125"/>
        <v>0</v>
      </c>
      <c r="O601" s="1453">
        <f t="shared" si="126"/>
        <v>0</v>
      </c>
      <c r="P601" s="1328">
        <f t="shared" si="127"/>
        <v>0</v>
      </c>
    </row>
    <row r="602" spans="1:16" ht="31" hidden="1" customHeight="1" outlineLevel="1" thickBot="1" x14ac:dyDescent="0.3">
      <c r="A602" s="1416">
        <f t="shared" si="130"/>
        <v>3.8</v>
      </c>
      <c r="B602" s="1412" t="str">
        <f t="shared" si="130"/>
        <v xml:space="preserve">Enhancement of unloading capacity of CHP from 360 TPH to 500 TPH </v>
      </c>
      <c r="C602" s="1416" t="str">
        <f t="shared" si="130"/>
        <v>MERC/CAPEX/20122013/00912</v>
      </c>
      <c r="D602" s="1456">
        <f t="shared" si="130"/>
        <v>41114</v>
      </c>
      <c r="E602" s="1414">
        <f t="shared" si="130"/>
        <v>7.6508000000000003</v>
      </c>
      <c r="F602" s="1452">
        <f t="shared" si="121"/>
        <v>0</v>
      </c>
      <c r="G602" s="1452">
        <f t="shared" si="122"/>
        <v>0</v>
      </c>
      <c r="H602" s="1452">
        <f t="shared" si="123"/>
        <v>0</v>
      </c>
      <c r="I602" s="1452">
        <v>0</v>
      </c>
      <c r="J602" s="1452">
        <v>0</v>
      </c>
      <c r="K602" s="1414"/>
      <c r="L602" s="1414"/>
      <c r="M602" s="1414">
        <f t="shared" si="128"/>
        <v>0</v>
      </c>
      <c r="N602" s="1414">
        <f t="shared" si="125"/>
        <v>0</v>
      </c>
      <c r="O602" s="1453">
        <f t="shared" si="126"/>
        <v>0</v>
      </c>
      <c r="P602" s="1328">
        <f t="shared" si="127"/>
        <v>0</v>
      </c>
    </row>
    <row r="603" spans="1:16" ht="77.5" hidden="1" customHeight="1" outlineLevel="1" thickBot="1" x14ac:dyDescent="0.3">
      <c r="A603" s="1416">
        <f t="shared" si="130"/>
        <v>3.9</v>
      </c>
      <c r="B603" s="1412" t="str">
        <f t="shared" si="130"/>
        <v>Quick detection of poor coal quality through CCTV on overhead watch
tower focused onto the wagons, over which the rake passes at low
speed &amp; various conveyor tunnels</v>
      </c>
      <c r="C603" s="1416" t="str">
        <f t="shared" si="130"/>
        <v>MERC/CAPEX/20122013/00912</v>
      </c>
      <c r="D603" s="1456">
        <f t="shared" si="130"/>
        <v>41114</v>
      </c>
      <c r="E603" s="1414">
        <f t="shared" si="130"/>
        <v>0.29680000000000001</v>
      </c>
      <c r="F603" s="1452">
        <f t="shared" si="121"/>
        <v>0</v>
      </c>
      <c r="G603" s="1452">
        <f t="shared" si="122"/>
        <v>0</v>
      </c>
      <c r="H603" s="1452">
        <f t="shared" si="123"/>
        <v>0</v>
      </c>
      <c r="I603" s="1452">
        <v>0</v>
      </c>
      <c r="J603" s="1452">
        <v>0</v>
      </c>
      <c r="K603" s="1414"/>
      <c r="L603" s="1414"/>
      <c r="M603" s="1414">
        <f t="shared" si="128"/>
        <v>0</v>
      </c>
      <c r="N603" s="1414">
        <f t="shared" si="125"/>
        <v>0</v>
      </c>
      <c r="O603" s="1453">
        <f t="shared" si="126"/>
        <v>0</v>
      </c>
      <c r="P603" s="1328">
        <f t="shared" si="127"/>
        <v>0</v>
      </c>
    </row>
    <row r="604" spans="1:16" ht="15.5" hidden="1" customHeight="1" outlineLevel="1" thickBot="1" x14ac:dyDescent="0.3">
      <c r="A604" s="1418">
        <f t="shared" si="130"/>
        <v>3.1</v>
      </c>
      <c r="B604" s="1412" t="str">
        <f t="shared" si="130"/>
        <v xml:space="preserve">Motor controller for conveyor motors of Stage II CHP </v>
      </c>
      <c r="C604" s="1416" t="str">
        <f t="shared" si="130"/>
        <v>MERC/CAPEX/20122013/00912</v>
      </c>
      <c r="D604" s="1456">
        <f t="shared" si="130"/>
        <v>41114</v>
      </c>
      <c r="E604" s="1414">
        <f t="shared" si="130"/>
        <v>0.9607</v>
      </c>
      <c r="F604" s="1452">
        <f t="shared" si="121"/>
        <v>0.9607</v>
      </c>
      <c r="G604" s="1452">
        <f t="shared" si="122"/>
        <v>0.9607</v>
      </c>
      <c r="H604" s="1452">
        <f t="shared" si="123"/>
        <v>0</v>
      </c>
      <c r="I604" s="1452">
        <v>0</v>
      </c>
      <c r="J604" s="1452">
        <v>0</v>
      </c>
      <c r="K604" s="1414"/>
      <c r="L604" s="1414"/>
      <c r="M604" s="1414">
        <f t="shared" si="128"/>
        <v>0</v>
      </c>
      <c r="N604" s="1414">
        <f t="shared" si="125"/>
        <v>0</v>
      </c>
      <c r="O604" s="1453">
        <f t="shared" si="126"/>
        <v>0</v>
      </c>
      <c r="P604" s="1328">
        <f t="shared" si="127"/>
        <v>0</v>
      </c>
    </row>
    <row r="605" spans="1:16" ht="31" hidden="1" customHeight="1" outlineLevel="1" thickBot="1" x14ac:dyDescent="0.3">
      <c r="A605" s="1416">
        <f t="shared" si="130"/>
        <v>3.11</v>
      </c>
      <c r="B605" s="1412" t="str">
        <f t="shared" si="130"/>
        <v>Procurement of a CHN apparatus for ultimate analysis for operational optimization and coal mapping studies.</v>
      </c>
      <c r="C605" s="1416" t="str">
        <f t="shared" si="130"/>
        <v>MERC/CAPEX/20122013/00912</v>
      </c>
      <c r="D605" s="1456">
        <f t="shared" si="130"/>
        <v>41114</v>
      </c>
      <c r="E605" s="1414">
        <f t="shared" si="130"/>
        <v>0.63617000000000001</v>
      </c>
      <c r="F605" s="1452">
        <f t="shared" si="121"/>
        <v>0</v>
      </c>
      <c r="G605" s="1452">
        <f t="shared" si="122"/>
        <v>0</v>
      </c>
      <c r="H605" s="1452">
        <f t="shared" si="123"/>
        <v>0</v>
      </c>
      <c r="I605" s="1452">
        <v>0</v>
      </c>
      <c r="J605" s="1452">
        <v>0</v>
      </c>
      <c r="K605" s="1414"/>
      <c r="L605" s="1414"/>
      <c r="M605" s="1414">
        <f t="shared" si="128"/>
        <v>0</v>
      </c>
      <c r="N605" s="1414">
        <f t="shared" si="125"/>
        <v>0</v>
      </c>
      <c r="O605" s="1453">
        <f t="shared" si="126"/>
        <v>0</v>
      </c>
      <c r="P605" s="1328">
        <f t="shared" si="127"/>
        <v>0</v>
      </c>
    </row>
    <row r="606" spans="1:16" ht="15.5" hidden="1" customHeight="1" outlineLevel="1" thickBot="1" x14ac:dyDescent="0.3">
      <c r="A606" s="1416">
        <f t="shared" si="130"/>
        <v>3.12</v>
      </c>
      <c r="B606" s="1412" t="str">
        <f t="shared" si="130"/>
        <v xml:space="preserve">Additional bomb calorimeter </v>
      </c>
      <c r="C606" s="1416" t="str">
        <f t="shared" si="130"/>
        <v>MERC/CAPEX/20122013/00912</v>
      </c>
      <c r="D606" s="1456">
        <f t="shared" si="130"/>
        <v>41114</v>
      </c>
      <c r="E606" s="1414">
        <f t="shared" si="130"/>
        <v>0.44012000000000001</v>
      </c>
      <c r="F606" s="1452">
        <f t="shared" si="121"/>
        <v>0.19</v>
      </c>
      <c r="G606" s="1452">
        <f t="shared" si="122"/>
        <v>0.19</v>
      </c>
      <c r="H606" s="1452">
        <f t="shared" si="123"/>
        <v>0</v>
      </c>
      <c r="I606" s="1452">
        <v>0</v>
      </c>
      <c r="J606" s="1452">
        <v>0</v>
      </c>
      <c r="K606" s="1414"/>
      <c r="L606" s="1414"/>
      <c r="M606" s="1414">
        <f t="shared" si="128"/>
        <v>0</v>
      </c>
      <c r="N606" s="1414">
        <f t="shared" si="125"/>
        <v>0</v>
      </c>
      <c r="O606" s="1453">
        <f t="shared" si="126"/>
        <v>0</v>
      </c>
      <c r="P606" s="1328">
        <f t="shared" si="127"/>
        <v>0</v>
      </c>
    </row>
    <row r="607" spans="1:16" ht="15.5" hidden="1" customHeight="1" outlineLevel="1" thickBot="1" x14ac:dyDescent="0.3">
      <c r="A607" s="1416">
        <f t="shared" si="130"/>
        <v>3.13</v>
      </c>
      <c r="B607" s="1412" t="str">
        <f t="shared" si="130"/>
        <v xml:space="preserve">TGA analysis of the coal for operational optimization. </v>
      </c>
      <c r="C607" s="1416" t="str">
        <f t="shared" si="130"/>
        <v>MERC/CAPEX/20122013/00912</v>
      </c>
      <c r="D607" s="1456">
        <f t="shared" si="130"/>
        <v>41114</v>
      </c>
      <c r="E607" s="1414">
        <f t="shared" si="130"/>
        <v>0.53213999999999995</v>
      </c>
      <c r="F607" s="1452">
        <f t="shared" si="121"/>
        <v>0</v>
      </c>
      <c r="G607" s="1452">
        <f t="shared" si="122"/>
        <v>0</v>
      </c>
      <c r="H607" s="1452">
        <f t="shared" si="123"/>
        <v>0</v>
      </c>
      <c r="I607" s="1452">
        <v>0</v>
      </c>
      <c r="J607" s="1452">
        <v>0</v>
      </c>
      <c r="K607" s="1414"/>
      <c r="L607" s="1414"/>
      <c r="M607" s="1414">
        <f t="shared" si="128"/>
        <v>0</v>
      </c>
      <c r="N607" s="1414">
        <f t="shared" si="125"/>
        <v>0</v>
      </c>
      <c r="O607" s="1453">
        <f t="shared" si="126"/>
        <v>0</v>
      </c>
      <c r="P607" s="1328">
        <f t="shared" si="127"/>
        <v>0</v>
      </c>
    </row>
    <row r="608" spans="1:16" ht="15.5" hidden="1" customHeight="1" outlineLevel="1" thickBot="1" x14ac:dyDescent="0.3">
      <c r="A608" s="1406"/>
      <c r="B608" s="1412" t="str">
        <f t="shared" si="130"/>
        <v>IDC</v>
      </c>
      <c r="C608" s="1416" t="str">
        <f t="shared" si="130"/>
        <v>MERC/CAPEX/20122013/00912</v>
      </c>
      <c r="D608" s="1456">
        <f t="shared" si="130"/>
        <v>41114</v>
      </c>
      <c r="E608" s="1414">
        <f t="shared" si="130"/>
        <v>5.27</v>
      </c>
      <c r="F608" s="1452">
        <f t="shared" si="121"/>
        <v>0</v>
      </c>
      <c r="G608" s="1452">
        <f t="shared" si="122"/>
        <v>0</v>
      </c>
      <c r="H608" s="1452">
        <f t="shared" si="123"/>
        <v>0</v>
      </c>
      <c r="I608" s="1452">
        <v>0</v>
      </c>
      <c r="J608" s="1452">
        <v>0</v>
      </c>
      <c r="K608" s="1414"/>
      <c r="L608" s="1414"/>
      <c r="M608" s="1414">
        <f t="shared" si="128"/>
        <v>0</v>
      </c>
      <c r="N608" s="1414">
        <f t="shared" si="125"/>
        <v>0</v>
      </c>
      <c r="O608" s="1453">
        <f t="shared" si="126"/>
        <v>0</v>
      </c>
      <c r="P608" s="1328">
        <f t="shared" si="127"/>
        <v>0</v>
      </c>
    </row>
    <row r="609" spans="1:16" ht="31" hidden="1" customHeight="1" outlineLevel="1" thickBot="1" x14ac:dyDescent="0.3">
      <c r="A609" s="1406">
        <f>A514</f>
        <v>4</v>
      </c>
      <c r="B609" s="1407" t="str">
        <f t="shared" si="130"/>
        <v>Turbine Auxiliary Performance Improvements</v>
      </c>
      <c r="C609" s="1406" t="str">
        <f t="shared" si="130"/>
        <v>MERC/CAPEX/20122013/02107</v>
      </c>
      <c r="D609" s="1451">
        <f t="shared" si="130"/>
        <v>41281</v>
      </c>
      <c r="E609" s="1452">
        <f t="shared" si="130"/>
        <v>20.108999999999998</v>
      </c>
      <c r="F609" s="1452">
        <f t="shared" si="121"/>
        <v>0</v>
      </c>
      <c r="G609" s="1452">
        <f t="shared" si="122"/>
        <v>0</v>
      </c>
      <c r="H609" s="1452">
        <f t="shared" si="123"/>
        <v>0</v>
      </c>
      <c r="I609" s="1452">
        <v>0</v>
      </c>
      <c r="J609" s="1452">
        <v>0</v>
      </c>
      <c r="K609" s="1452"/>
      <c r="L609" s="1452"/>
      <c r="M609" s="1452">
        <f t="shared" si="128"/>
        <v>0</v>
      </c>
      <c r="N609" s="1452">
        <f t="shared" si="125"/>
        <v>0</v>
      </c>
      <c r="O609" s="1453">
        <f t="shared" si="126"/>
        <v>0</v>
      </c>
      <c r="P609" s="1328">
        <f t="shared" si="127"/>
        <v>0</v>
      </c>
    </row>
    <row r="610" spans="1:16" ht="46.5" hidden="1" customHeight="1" outlineLevel="1" thickBot="1" x14ac:dyDescent="0.3">
      <c r="A610" s="1416">
        <f>A515</f>
        <v>4.0999999999999996</v>
      </c>
      <c r="B610" s="1412" t="str">
        <f t="shared" ref="B610:E622" si="131">B515</f>
        <v>Procurement and installation and commissioning of modified upgraded boiler feed pump (Type -200KHI/S) having energy efficient cartridge for unit 2 &amp; 3 , BTPS.</v>
      </c>
      <c r="C610" s="1416" t="str">
        <f t="shared" si="131"/>
        <v>MERC/CAPEX/20122013/02107</v>
      </c>
      <c r="D610" s="1456">
        <f t="shared" si="131"/>
        <v>41281</v>
      </c>
      <c r="E610" s="1414">
        <f t="shared" si="131"/>
        <v>17.47</v>
      </c>
      <c r="F610" s="1452">
        <f t="shared" si="121"/>
        <v>8.655683800000002</v>
      </c>
      <c r="G610" s="1452">
        <f t="shared" si="122"/>
        <v>8.655683800000002</v>
      </c>
      <c r="H610" s="1452">
        <f t="shared" si="123"/>
        <v>0</v>
      </c>
      <c r="I610" s="1452">
        <v>0</v>
      </c>
      <c r="J610" s="1452">
        <v>0</v>
      </c>
      <c r="K610" s="1414"/>
      <c r="L610" s="1414"/>
      <c r="M610" s="1414">
        <f t="shared" si="128"/>
        <v>0</v>
      </c>
      <c r="N610" s="1414">
        <f t="shared" si="125"/>
        <v>0</v>
      </c>
      <c r="O610" s="1453">
        <f t="shared" si="126"/>
        <v>0</v>
      </c>
      <c r="P610" s="1328">
        <f t="shared" si="127"/>
        <v>0</v>
      </c>
    </row>
    <row r="611" spans="1:16" ht="31" hidden="1" customHeight="1" outlineLevel="1" thickBot="1" x14ac:dyDescent="0.3">
      <c r="A611" s="1416">
        <f>A516</f>
        <v>4.2</v>
      </c>
      <c r="B611" s="1412" t="str">
        <f t="shared" si="131"/>
        <v>Replacement of brine pumps with modified pumps complete with S.S material in new WTP</v>
      </c>
      <c r="C611" s="1416" t="str">
        <f t="shared" si="131"/>
        <v>MERC/CAPEX/20122013/02107</v>
      </c>
      <c r="D611" s="1456">
        <f t="shared" si="131"/>
        <v>41281</v>
      </c>
      <c r="E611" s="1414">
        <f t="shared" si="131"/>
        <v>1.0289999999999999</v>
      </c>
      <c r="F611" s="1452">
        <f t="shared" si="121"/>
        <v>0.30159950000000002</v>
      </c>
      <c r="G611" s="1452">
        <f t="shared" si="122"/>
        <v>0.30159950000000002</v>
      </c>
      <c r="H611" s="1452">
        <f t="shared" si="123"/>
        <v>0</v>
      </c>
      <c r="I611" s="1452">
        <v>0</v>
      </c>
      <c r="J611" s="1452">
        <v>0</v>
      </c>
      <c r="K611" s="1414"/>
      <c r="L611" s="1414"/>
      <c r="M611" s="1414">
        <f t="shared" si="128"/>
        <v>0</v>
      </c>
      <c r="N611" s="1414">
        <f t="shared" si="125"/>
        <v>0</v>
      </c>
      <c r="O611" s="1453">
        <f t="shared" si="126"/>
        <v>0</v>
      </c>
      <c r="P611" s="1328">
        <f t="shared" si="127"/>
        <v>0</v>
      </c>
    </row>
    <row r="612" spans="1:16" ht="15.5" hidden="1" customHeight="1" outlineLevel="1" thickBot="1" x14ac:dyDescent="0.3">
      <c r="A612" s="1406"/>
      <c r="B612" s="1412" t="str">
        <f t="shared" si="131"/>
        <v>IDC</v>
      </c>
      <c r="C612" s="1416" t="str">
        <f t="shared" si="131"/>
        <v>MERC/CAPEX/20122013/02107</v>
      </c>
      <c r="D612" s="1456">
        <f t="shared" si="131"/>
        <v>41281</v>
      </c>
      <c r="E612" s="1414">
        <f t="shared" si="131"/>
        <v>1.61</v>
      </c>
      <c r="F612" s="1452">
        <f t="shared" si="121"/>
        <v>0</v>
      </c>
      <c r="G612" s="1452">
        <f t="shared" si="122"/>
        <v>0</v>
      </c>
      <c r="H612" s="1452">
        <f t="shared" si="123"/>
        <v>0</v>
      </c>
      <c r="I612" s="1452">
        <v>0</v>
      </c>
      <c r="J612" s="1452">
        <v>0</v>
      </c>
      <c r="K612" s="1414"/>
      <c r="L612" s="1414"/>
      <c r="M612" s="1414">
        <f t="shared" si="128"/>
        <v>0</v>
      </c>
      <c r="N612" s="1414">
        <f t="shared" si="125"/>
        <v>0</v>
      </c>
      <c r="O612" s="1453">
        <f t="shared" si="126"/>
        <v>0</v>
      </c>
      <c r="P612" s="1328">
        <f t="shared" si="127"/>
        <v>0</v>
      </c>
    </row>
    <row r="613" spans="1:16" ht="31" hidden="1" customHeight="1" outlineLevel="1" thickBot="1" x14ac:dyDescent="0.3">
      <c r="A613" s="1406">
        <f>A518</f>
        <v>5</v>
      </c>
      <c r="B613" s="1407" t="str">
        <f t="shared" si="131"/>
        <v>Replacement of Platen water wall coils U#2,Super Heater &amp; Platen Super Heater Coils for U#2 and Cold Reheater coils for U#2 &amp; U#3</v>
      </c>
      <c r="C613" s="1406" t="str">
        <f t="shared" si="131"/>
        <v>MERC/TECH-1/CAPEX/20142015/006</v>
      </c>
      <c r="D613" s="1451">
        <f t="shared" si="131"/>
        <v>41928</v>
      </c>
      <c r="E613" s="1452">
        <f t="shared" si="131"/>
        <v>13.692</v>
      </c>
      <c r="F613" s="1452">
        <f t="shared" si="121"/>
        <v>0</v>
      </c>
      <c r="G613" s="1452">
        <f t="shared" si="122"/>
        <v>0</v>
      </c>
      <c r="H613" s="1452">
        <f t="shared" si="123"/>
        <v>0</v>
      </c>
      <c r="I613" s="1452">
        <v>0</v>
      </c>
      <c r="J613" s="1452">
        <v>0</v>
      </c>
      <c r="K613" s="1452"/>
      <c r="L613" s="1452"/>
      <c r="M613" s="1452">
        <f t="shared" si="128"/>
        <v>0</v>
      </c>
      <c r="N613" s="1452">
        <f t="shared" si="125"/>
        <v>0</v>
      </c>
      <c r="O613" s="1453">
        <f t="shared" si="126"/>
        <v>0</v>
      </c>
      <c r="P613" s="1328">
        <f t="shared" si="127"/>
        <v>0</v>
      </c>
    </row>
    <row r="614" spans="1:16" ht="31" hidden="1" customHeight="1" outlineLevel="1" thickBot="1" x14ac:dyDescent="0.3">
      <c r="A614" s="1416">
        <f>A519</f>
        <v>5.0999999999999996</v>
      </c>
      <c r="B614" s="1419" t="str">
        <f t="shared" si="131"/>
        <v>Supply &amp; Erection of Platen Water wall coils Assembly from inlet header to outlet header in pent house for Unit No 2</v>
      </c>
      <c r="C614" s="1416" t="str">
        <f t="shared" si="131"/>
        <v>MERC/TECH-1/CAPEX/20142015/006</v>
      </c>
      <c r="D614" s="1456">
        <f t="shared" si="131"/>
        <v>41928</v>
      </c>
      <c r="E614" s="1414">
        <f t="shared" si="131"/>
        <v>1.1040000000000001</v>
      </c>
      <c r="F614" s="1452">
        <f t="shared" si="121"/>
        <v>0.54</v>
      </c>
      <c r="G614" s="1452">
        <f t="shared" si="122"/>
        <v>0.54</v>
      </c>
      <c r="H614" s="1452">
        <f t="shared" si="123"/>
        <v>0</v>
      </c>
      <c r="I614" s="1452">
        <v>0</v>
      </c>
      <c r="J614" s="1452">
        <v>0</v>
      </c>
      <c r="K614" s="1414"/>
      <c r="L614" s="1414"/>
      <c r="M614" s="1414">
        <f t="shared" si="128"/>
        <v>0</v>
      </c>
      <c r="N614" s="1414">
        <f t="shared" si="125"/>
        <v>0</v>
      </c>
      <c r="O614" s="1453">
        <f t="shared" si="126"/>
        <v>0</v>
      </c>
      <c r="P614" s="1328">
        <f t="shared" si="127"/>
        <v>0</v>
      </c>
    </row>
    <row r="615" spans="1:16" ht="62" hidden="1" customHeight="1" outlineLevel="1" thickBot="1" x14ac:dyDescent="0.3">
      <c r="A615" s="1416">
        <f>A520</f>
        <v>5.2</v>
      </c>
      <c r="B615" s="1419" t="str">
        <f t="shared" si="131"/>
        <v>Complete Supply &amp; Erection of Super Heater Radiant Roof Panel Tube  with Attachment  for Unit No 2 Boiler From front side of Boiler to rear side of boiler &amp; Vertical Platen Super Heater coils Assembly for Unit No 2, 210 MW Boiler.</v>
      </c>
      <c r="C615" s="1416" t="str">
        <f t="shared" si="131"/>
        <v>MERC/TECH-1/CAPEX/20142015/006</v>
      </c>
      <c r="D615" s="1456">
        <f t="shared" si="131"/>
        <v>41928</v>
      </c>
      <c r="E615" s="1414">
        <f t="shared" si="131"/>
        <v>5.4770000000000003</v>
      </c>
      <c r="F615" s="1452">
        <f t="shared" si="121"/>
        <v>5.4649043000000006</v>
      </c>
      <c r="G615" s="1452">
        <f t="shared" si="122"/>
        <v>5.4649043000000006</v>
      </c>
      <c r="H615" s="1452">
        <f t="shared" si="123"/>
        <v>0</v>
      </c>
      <c r="I615" s="1452">
        <v>0</v>
      </c>
      <c r="J615" s="1452">
        <v>0</v>
      </c>
      <c r="K615" s="1414"/>
      <c r="L615" s="1414"/>
      <c r="M615" s="1414">
        <f t="shared" si="128"/>
        <v>0</v>
      </c>
      <c r="N615" s="1414">
        <f t="shared" si="125"/>
        <v>0</v>
      </c>
      <c r="O615" s="1453">
        <f t="shared" si="126"/>
        <v>0</v>
      </c>
      <c r="P615" s="1328">
        <f t="shared" si="127"/>
        <v>0</v>
      </c>
    </row>
    <row r="616" spans="1:16" ht="62" hidden="1" customHeight="1" outlineLevel="1" thickBot="1" x14ac:dyDescent="0.3">
      <c r="A616" s="1416">
        <f>A521</f>
        <v>5.3</v>
      </c>
      <c r="B616" s="1419" t="str">
        <f t="shared" si="131"/>
        <v>Supply &amp; Erection of Reheater front Pendent Assembly consisting Full set of Cold Reheater coil assembly For Unit No 2 with necessary attachments, Crown Plate. Heat shield, roof seal bend, steam cooled spacer tube with necessary attachment.</v>
      </c>
      <c r="C616" s="1416" t="str">
        <f t="shared" si="131"/>
        <v>MERC/TECH-1/CAPEX/20142015/006</v>
      </c>
      <c r="D616" s="1456">
        <f t="shared" si="131"/>
        <v>41928</v>
      </c>
      <c r="E616" s="1414">
        <f t="shared" si="131"/>
        <v>2.7109999999999999</v>
      </c>
      <c r="F616" s="1452">
        <f t="shared" si="121"/>
        <v>2.6624558</v>
      </c>
      <c r="G616" s="1452">
        <f t="shared" si="122"/>
        <v>2.6624558</v>
      </c>
      <c r="H616" s="1452">
        <f t="shared" si="123"/>
        <v>0</v>
      </c>
      <c r="I616" s="1452">
        <v>0</v>
      </c>
      <c r="J616" s="1452">
        <v>0</v>
      </c>
      <c r="K616" s="1414"/>
      <c r="L616" s="1414"/>
      <c r="M616" s="1414">
        <f t="shared" si="128"/>
        <v>0</v>
      </c>
      <c r="N616" s="1414">
        <f t="shared" si="125"/>
        <v>0</v>
      </c>
      <c r="O616" s="1453">
        <f t="shared" si="126"/>
        <v>0</v>
      </c>
      <c r="P616" s="1328">
        <f t="shared" si="127"/>
        <v>0</v>
      </c>
    </row>
    <row r="617" spans="1:16" ht="62" hidden="1" customHeight="1" outlineLevel="1" thickBot="1" x14ac:dyDescent="0.3">
      <c r="A617" s="1416">
        <f>A522</f>
        <v>5.4</v>
      </c>
      <c r="B617" s="1419" t="str">
        <f t="shared" si="131"/>
        <v>Supply &amp; Erection of Reheater front Pendent Assembly consisting Full set of Cold Reheater coil assembly For Unit No 3 with necessary attachments, Crown Plate. Heat shield, roof seal bend, steam cooled spacer tube with necessary attachment.</v>
      </c>
      <c r="C617" s="1416" t="str">
        <f t="shared" si="131"/>
        <v>MERC/TECH-1/CAPEX/20142015/006</v>
      </c>
      <c r="D617" s="1456">
        <f t="shared" si="131"/>
        <v>41928</v>
      </c>
      <c r="E617" s="1414">
        <f t="shared" si="131"/>
        <v>2.7109999999999999</v>
      </c>
      <c r="F617" s="1452">
        <f t="shared" si="121"/>
        <v>2.3531</v>
      </c>
      <c r="G617" s="1452">
        <f t="shared" si="122"/>
        <v>2.3531</v>
      </c>
      <c r="H617" s="1452">
        <f t="shared" si="123"/>
        <v>0</v>
      </c>
      <c r="I617" s="1452">
        <v>0</v>
      </c>
      <c r="J617" s="1452">
        <v>0</v>
      </c>
      <c r="K617" s="1414"/>
      <c r="L617" s="1414"/>
      <c r="M617" s="1414">
        <f t="shared" si="128"/>
        <v>0</v>
      </c>
      <c r="N617" s="1414">
        <f t="shared" si="125"/>
        <v>0</v>
      </c>
      <c r="O617" s="1453">
        <f t="shared" si="126"/>
        <v>0</v>
      </c>
      <c r="P617" s="1328">
        <f t="shared" si="127"/>
        <v>0</v>
      </c>
    </row>
    <row r="618" spans="1:16" ht="31" hidden="1" customHeight="1" outlineLevel="1" thickBot="1" x14ac:dyDescent="0.3">
      <c r="A618" s="1406"/>
      <c r="B618" s="1419" t="str">
        <f t="shared" si="131"/>
        <v>IDC</v>
      </c>
      <c r="C618" s="1416" t="str">
        <f t="shared" si="131"/>
        <v>MERC/TECH-1/CAPEX/20142015/006</v>
      </c>
      <c r="D618" s="1456">
        <f t="shared" si="131"/>
        <v>41928</v>
      </c>
      <c r="E618" s="1414">
        <f t="shared" si="131"/>
        <v>1.6890000000000001</v>
      </c>
      <c r="F618" s="1452">
        <f t="shared" si="121"/>
        <v>0</v>
      </c>
      <c r="G618" s="1452">
        <f t="shared" si="122"/>
        <v>0</v>
      </c>
      <c r="H618" s="1452">
        <f t="shared" si="123"/>
        <v>0</v>
      </c>
      <c r="I618" s="1452">
        <v>0</v>
      </c>
      <c r="J618" s="1452">
        <v>0</v>
      </c>
      <c r="K618" s="1414"/>
      <c r="L618" s="1414"/>
      <c r="M618" s="1414">
        <f t="shared" si="128"/>
        <v>0</v>
      </c>
      <c r="N618" s="1414">
        <f t="shared" si="125"/>
        <v>0</v>
      </c>
      <c r="O618" s="1453">
        <f t="shared" si="126"/>
        <v>0</v>
      </c>
      <c r="P618" s="1328">
        <f t="shared" si="127"/>
        <v>0</v>
      </c>
    </row>
    <row r="619" spans="1:16" ht="46.5" hidden="1" customHeight="1" outlineLevel="1" thickBot="1" x14ac:dyDescent="0.3">
      <c r="A619" s="1406">
        <f>A524</f>
        <v>6</v>
      </c>
      <c r="B619" s="1407" t="str">
        <f t="shared" si="131"/>
        <v>Boiler Process Improvement by replacement of damaged valves and Boiler Perfm Imp by Air Pre-Heater Up gradation of U#2 &amp; U#3 at BTPS</v>
      </c>
      <c r="C619" s="1406" t="str">
        <f t="shared" si="131"/>
        <v>MERC/Tech-1/CAPEX /2014-15/00433</v>
      </c>
      <c r="D619" s="1451">
        <f t="shared" si="131"/>
        <v>41792</v>
      </c>
      <c r="E619" s="1452">
        <f t="shared" si="131"/>
        <v>17.369999999999997</v>
      </c>
      <c r="F619" s="1452">
        <f t="shared" si="121"/>
        <v>0</v>
      </c>
      <c r="G619" s="1452">
        <f t="shared" si="122"/>
        <v>0</v>
      </c>
      <c r="H619" s="1452">
        <f t="shared" si="123"/>
        <v>0</v>
      </c>
      <c r="I619" s="1452">
        <v>0</v>
      </c>
      <c r="J619" s="1452">
        <v>0</v>
      </c>
      <c r="K619" s="1452"/>
      <c r="L619" s="1452"/>
      <c r="M619" s="1452">
        <f t="shared" si="128"/>
        <v>0</v>
      </c>
      <c r="N619" s="1452">
        <f t="shared" si="125"/>
        <v>0</v>
      </c>
      <c r="O619" s="1453">
        <f t="shared" si="126"/>
        <v>0</v>
      </c>
      <c r="P619" s="1328">
        <f t="shared" si="127"/>
        <v>0</v>
      </c>
    </row>
    <row r="620" spans="1:16" ht="31" hidden="1" customHeight="1" outlineLevel="1" thickBot="1" x14ac:dyDescent="0.3">
      <c r="A620" s="1411">
        <f>A525</f>
        <v>6.1</v>
      </c>
      <c r="B620" s="1419" t="str">
        <f t="shared" si="131"/>
        <v>Replacement of boiler outlet valves and damaged valves of units 2 &amp; 3</v>
      </c>
      <c r="C620" s="1411" t="str">
        <f t="shared" si="131"/>
        <v>MERC/Tech-1/CAPEX /2014-15/00433</v>
      </c>
      <c r="D620" s="1454">
        <f t="shared" si="131"/>
        <v>41792</v>
      </c>
      <c r="E620" s="1414">
        <f t="shared" si="131"/>
        <v>2.62</v>
      </c>
      <c r="F620" s="1452">
        <f t="shared" si="121"/>
        <v>1.3984000000000001</v>
      </c>
      <c r="G620" s="1452">
        <f t="shared" si="122"/>
        <v>1.3984000000000001</v>
      </c>
      <c r="H620" s="1452">
        <f t="shared" si="123"/>
        <v>0</v>
      </c>
      <c r="I620" s="1452">
        <v>0</v>
      </c>
      <c r="J620" s="1452">
        <v>0</v>
      </c>
      <c r="K620" s="1414"/>
      <c r="L620" s="1414"/>
      <c r="M620" s="1414">
        <f t="shared" si="128"/>
        <v>0</v>
      </c>
      <c r="N620" s="1414">
        <f t="shared" si="125"/>
        <v>0</v>
      </c>
      <c r="O620" s="1453">
        <f t="shared" si="126"/>
        <v>0</v>
      </c>
      <c r="P620" s="1328">
        <f t="shared" si="127"/>
        <v>0</v>
      </c>
    </row>
    <row r="621" spans="1:16" ht="31" hidden="1" customHeight="1" outlineLevel="1" thickBot="1" x14ac:dyDescent="0.3">
      <c r="A621" s="1411">
        <f>A526</f>
        <v>6.2</v>
      </c>
      <c r="B621" s="1419" t="str">
        <f t="shared" si="131"/>
        <v>Air pre heater up gradation of heat exchanger matrix &amp; regenerative dynamic sealing of units 2 &amp; 3</v>
      </c>
      <c r="C621" s="1411" t="str">
        <f t="shared" si="131"/>
        <v>MERC/Tech-1/CAPEX /2014-15/00433</v>
      </c>
      <c r="D621" s="1454">
        <f t="shared" si="131"/>
        <v>41792</v>
      </c>
      <c r="E621" s="1414">
        <f t="shared" si="131"/>
        <v>13.404999999999999</v>
      </c>
      <c r="F621" s="1452">
        <f t="shared" si="121"/>
        <v>1.2086276</v>
      </c>
      <c r="G621" s="1452">
        <f t="shared" si="122"/>
        <v>1.2086276</v>
      </c>
      <c r="H621" s="1452">
        <f t="shared" si="123"/>
        <v>0</v>
      </c>
      <c r="I621" s="1452">
        <v>0</v>
      </c>
      <c r="J621" s="1452">
        <v>0</v>
      </c>
      <c r="K621" s="1414"/>
      <c r="L621" s="1414"/>
      <c r="M621" s="1414">
        <f t="shared" si="128"/>
        <v>0</v>
      </c>
      <c r="N621" s="1414">
        <f t="shared" si="125"/>
        <v>0</v>
      </c>
      <c r="O621" s="1453">
        <f t="shared" si="126"/>
        <v>0</v>
      </c>
      <c r="P621" s="1328">
        <f t="shared" si="127"/>
        <v>0</v>
      </c>
    </row>
    <row r="622" spans="1:16" ht="31" hidden="1" customHeight="1" outlineLevel="1" thickBot="1" x14ac:dyDescent="0.3">
      <c r="A622" s="1411"/>
      <c r="B622" s="1419" t="str">
        <f t="shared" si="131"/>
        <v>IDC</v>
      </c>
      <c r="C622" s="1411" t="str">
        <f t="shared" si="131"/>
        <v>MERC/Tech-1/CAPEX /2014-15/00433</v>
      </c>
      <c r="D622" s="1454">
        <f t="shared" si="131"/>
        <v>41792</v>
      </c>
      <c r="E622" s="1414">
        <f t="shared" si="131"/>
        <v>1.345</v>
      </c>
      <c r="F622" s="1452">
        <f t="shared" si="121"/>
        <v>0</v>
      </c>
      <c r="G622" s="1452">
        <f t="shared" si="122"/>
        <v>0</v>
      </c>
      <c r="H622" s="1452">
        <f t="shared" si="123"/>
        <v>0</v>
      </c>
      <c r="I622" s="1452">
        <v>0</v>
      </c>
      <c r="J622" s="1452">
        <v>0</v>
      </c>
      <c r="K622" s="1414"/>
      <c r="L622" s="1414"/>
      <c r="M622" s="1414">
        <f t="shared" si="128"/>
        <v>0</v>
      </c>
      <c r="N622" s="1414">
        <f t="shared" si="125"/>
        <v>0</v>
      </c>
      <c r="O622" s="1453">
        <f t="shared" si="126"/>
        <v>0</v>
      </c>
      <c r="P622" s="1328">
        <f t="shared" si="127"/>
        <v>0</v>
      </c>
    </row>
    <row r="623" spans="1:16" ht="31" hidden="1" customHeight="1" outlineLevel="1" thickBot="1" x14ac:dyDescent="0.3">
      <c r="A623" s="1406">
        <f t="shared" ref="A623:E635" si="132">A528</f>
        <v>8</v>
      </c>
      <c r="B623" s="1407" t="str">
        <f t="shared" si="132"/>
        <v>Stack management by procurement of Bulldozer &amp; LOCO and CHP area schemes for performance &amp; unloading improvement</v>
      </c>
      <c r="C623" s="1406" t="str">
        <f t="shared" si="132"/>
        <v>MERC/CAPEX/20162017/01426</v>
      </c>
      <c r="D623" s="1451">
        <f t="shared" si="132"/>
        <v>42768</v>
      </c>
      <c r="E623" s="1452">
        <f t="shared" si="132"/>
        <v>2.0930578512396689</v>
      </c>
      <c r="F623" s="1452">
        <f t="shared" si="121"/>
        <v>0</v>
      </c>
      <c r="G623" s="1452">
        <f t="shared" si="122"/>
        <v>0</v>
      </c>
      <c r="H623" s="1452">
        <f t="shared" si="123"/>
        <v>0</v>
      </c>
      <c r="I623" s="1452">
        <v>0</v>
      </c>
      <c r="J623" s="1452">
        <v>0</v>
      </c>
      <c r="K623" s="1452"/>
      <c r="L623" s="1452"/>
      <c r="M623" s="1452">
        <f t="shared" si="128"/>
        <v>0</v>
      </c>
      <c r="N623" s="1452">
        <f t="shared" si="125"/>
        <v>0</v>
      </c>
      <c r="O623" s="1453">
        <f t="shared" si="126"/>
        <v>0</v>
      </c>
      <c r="P623" s="1328">
        <f t="shared" si="127"/>
        <v>0</v>
      </c>
    </row>
    <row r="624" spans="1:16" ht="15.5" hidden="1" customHeight="1" outlineLevel="1" thickBot="1" x14ac:dyDescent="0.3">
      <c r="A624" s="1411">
        <f t="shared" si="132"/>
        <v>8.1</v>
      </c>
      <c r="B624" s="1419" t="str">
        <f t="shared" si="132"/>
        <v>Procurement of Locomotive 800 HP (2 No.’s)</v>
      </c>
      <c r="C624" s="1411" t="str">
        <f t="shared" si="132"/>
        <v>MERC/CAPEX/20162017/01426</v>
      </c>
      <c r="D624" s="1454">
        <f t="shared" si="132"/>
        <v>42768</v>
      </c>
      <c r="E624" s="1414">
        <f t="shared" si="132"/>
        <v>1.0395867768595042</v>
      </c>
      <c r="F624" s="1452">
        <f t="shared" si="121"/>
        <v>1.0134768000000001</v>
      </c>
      <c r="G624" s="1452">
        <f t="shared" si="122"/>
        <v>1.0134768000000001</v>
      </c>
      <c r="H624" s="1452">
        <f t="shared" si="123"/>
        <v>0</v>
      </c>
      <c r="I624" s="1452">
        <v>0</v>
      </c>
      <c r="J624" s="1452">
        <v>0</v>
      </c>
      <c r="K624" s="1414"/>
      <c r="L624" s="1414"/>
      <c r="M624" s="1414">
        <f t="shared" si="128"/>
        <v>0</v>
      </c>
      <c r="N624" s="1414">
        <f t="shared" si="125"/>
        <v>0</v>
      </c>
      <c r="O624" s="1453">
        <f t="shared" si="126"/>
        <v>0</v>
      </c>
      <c r="P624" s="1328">
        <f t="shared" si="127"/>
        <v>0</v>
      </c>
    </row>
    <row r="625" spans="1:16" ht="15.5" hidden="1" customHeight="1" outlineLevel="1" thickBot="1" x14ac:dyDescent="0.3">
      <c r="A625" s="1411">
        <f t="shared" si="132"/>
        <v>8.1999999999999993</v>
      </c>
      <c r="B625" s="1419" t="str">
        <f t="shared" si="132"/>
        <v>Procurement of 2 No’s of Bulldozer Model D-155(2 No.’s)</v>
      </c>
      <c r="C625" s="1411" t="str">
        <f t="shared" si="132"/>
        <v>MERC/CAPEX/20162017/01426</v>
      </c>
      <c r="D625" s="1454">
        <f t="shared" si="132"/>
        <v>42768</v>
      </c>
      <c r="E625" s="1414">
        <f t="shared" si="132"/>
        <v>0.5380165289256198</v>
      </c>
      <c r="F625" s="1452">
        <f t="shared" si="121"/>
        <v>0.72968922148760329</v>
      </c>
      <c r="G625" s="1452">
        <f t="shared" si="122"/>
        <v>0.72968922148760329</v>
      </c>
      <c r="H625" s="1452">
        <f t="shared" si="123"/>
        <v>0</v>
      </c>
      <c r="I625" s="1452">
        <v>0</v>
      </c>
      <c r="J625" s="1452">
        <v>0</v>
      </c>
      <c r="K625" s="1414"/>
      <c r="L625" s="1414"/>
      <c r="M625" s="1414">
        <f t="shared" si="128"/>
        <v>0</v>
      </c>
      <c r="N625" s="1414">
        <f t="shared" si="125"/>
        <v>0</v>
      </c>
      <c r="O625" s="1453">
        <f t="shared" si="126"/>
        <v>0</v>
      </c>
      <c r="P625" s="1328">
        <f t="shared" si="127"/>
        <v>0</v>
      </c>
    </row>
    <row r="626" spans="1:16" ht="15.5" hidden="1" customHeight="1" outlineLevel="1" thickBot="1" x14ac:dyDescent="0.3">
      <c r="A626" s="1411">
        <f t="shared" si="132"/>
        <v>8.3000000000000007</v>
      </c>
      <c r="B626" s="1419" t="str">
        <f t="shared" si="132"/>
        <v>Modification below primary crusher chutes 15A/B &amp; Conv.02</v>
      </c>
      <c r="C626" s="1411" t="str">
        <f t="shared" si="132"/>
        <v>MERC/CAPEX/20162017/01426</v>
      </c>
      <c r="D626" s="1454">
        <f t="shared" si="132"/>
        <v>42768</v>
      </c>
      <c r="E626" s="1414">
        <f t="shared" si="132"/>
        <v>9.0247933884297526E-2</v>
      </c>
      <c r="F626" s="1452">
        <f t="shared" si="121"/>
        <v>7.9869421487603301E-2</v>
      </c>
      <c r="G626" s="1452">
        <f t="shared" si="122"/>
        <v>7.9869421487603301E-2</v>
      </c>
      <c r="H626" s="1452">
        <f t="shared" si="123"/>
        <v>0</v>
      </c>
      <c r="I626" s="1452">
        <v>0</v>
      </c>
      <c r="J626" s="1452">
        <v>0</v>
      </c>
      <c r="K626" s="1414"/>
      <c r="L626" s="1414"/>
      <c r="M626" s="1414">
        <f t="shared" si="128"/>
        <v>0</v>
      </c>
      <c r="N626" s="1414">
        <f t="shared" si="125"/>
        <v>0</v>
      </c>
      <c r="O626" s="1453">
        <f t="shared" si="126"/>
        <v>0</v>
      </c>
      <c r="P626" s="1328">
        <f t="shared" si="127"/>
        <v>0</v>
      </c>
    </row>
    <row r="627" spans="1:16" ht="15.5" hidden="1" customHeight="1" outlineLevel="1" thickBot="1" x14ac:dyDescent="0.3">
      <c r="A627" s="1411">
        <f t="shared" si="132"/>
        <v>8.4</v>
      </c>
      <c r="B627" s="1419" t="str">
        <f t="shared" si="132"/>
        <v>New helical gear box for various conveyors</v>
      </c>
      <c r="C627" s="1411" t="str">
        <f t="shared" si="132"/>
        <v>MERC/CAPEX/20162017/01426</v>
      </c>
      <c r="D627" s="1454">
        <f t="shared" si="132"/>
        <v>42768</v>
      </c>
      <c r="E627" s="1414">
        <f t="shared" si="132"/>
        <v>0.16661157024793388</v>
      </c>
      <c r="F627" s="1452">
        <f t="shared" si="121"/>
        <v>0</v>
      </c>
      <c r="G627" s="1452">
        <f t="shared" si="122"/>
        <v>0</v>
      </c>
      <c r="H627" s="1452">
        <f t="shared" si="123"/>
        <v>0</v>
      </c>
      <c r="I627" s="1452">
        <v>0</v>
      </c>
      <c r="J627" s="1452">
        <v>0</v>
      </c>
      <c r="K627" s="1414"/>
      <c r="L627" s="1414"/>
      <c r="M627" s="1414">
        <f t="shared" si="128"/>
        <v>0</v>
      </c>
      <c r="N627" s="1414">
        <f t="shared" si="125"/>
        <v>0</v>
      </c>
      <c r="O627" s="1453">
        <f t="shared" si="126"/>
        <v>0</v>
      </c>
      <c r="P627" s="1328">
        <f t="shared" si="127"/>
        <v>0</v>
      </c>
    </row>
    <row r="628" spans="1:16" ht="15.5" hidden="1" customHeight="1" outlineLevel="1" thickBot="1" x14ac:dyDescent="0.3">
      <c r="A628" s="1411">
        <f t="shared" si="132"/>
        <v>8.5</v>
      </c>
      <c r="B628" s="1419" t="str">
        <f t="shared" si="132"/>
        <v xml:space="preserve">Procurement of Elecon Make Ring Granulator Type TK-09-38B </v>
      </c>
      <c r="C628" s="1411" t="str">
        <f t="shared" si="132"/>
        <v>MERC/CAPEX/20162017/01426</v>
      </c>
      <c r="D628" s="1454">
        <f t="shared" si="132"/>
        <v>42768</v>
      </c>
      <c r="E628" s="1414">
        <f t="shared" si="132"/>
        <v>0.11280991735537189</v>
      </c>
      <c r="F628" s="1452">
        <f t="shared" si="121"/>
        <v>0</v>
      </c>
      <c r="G628" s="1452">
        <f t="shared" si="122"/>
        <v>0</v>
      </c>
      <c r="H628" s="1452">
        <f t="shared" si="123"/>
        <v>0</v>
      </c>
      <c r="I628" s="1452">
        <v>0</v>
      </c>
      <c r="J628" s="1452">
        <v>0</v>
      </c>
      <c r="K628" s="1414"/>
      <c r="L628" s="1414"/>
      <c r="M628" s="1414">
        <f t="shared" si="128"/>
        <v>0</v>
      </c>
      <c r="N628" s="1414">
        <f t="shared" si="125"/>
        <v>0</v>
      </c>
      <c r="O628" s="1453">
        <f t="shared" si="126"/>
        <v>0</v>
      </c>
      <c r="P628" s="1328">
        <f t="shared" si="127"/>
        <v>0</v>
      </c>
    </row>
    <row r="629" spans="1:16" ht="31" hidden="1" customHeight="1" outlineLevel="1" thickBot="1" x14ac:dyDescent="0.3">
      <c r="A629" s="1411">
        <f t="shared" si="132"/>
        <v>8.6</v>
      </c>
      <c r="B629" s="1419" t="str">
        <f t="shared" si="132"/>
        <v>Procurement of Elecon Make Ring Granulator Type TK6 32B Ring Granulator</v>
      </c>
      <c r="C629" s="1411" t="str">
        <f t="shared" si="132"/>
        <v>MERC/CAPEX/20162017/01426</v>
      </c>
      <c r="D629" s="1454">
        <f t="shared" si="132"/>
        <v>42768</v>
      </c>
      <c r="E629" s="1414">
        <f t="shared" si="132"/>
        <v>7.1157024793388424E-2</v>
      </c>
      <c r="F629" s="1452">
        <f t="shared" si="121"/>
        <v>0</v>
      </c>
      <c r="G629" s="1452">
        <f t="shared" si="122"/>
        <v>0</v>
      </c>
      <c r="H629" s="1452">
        <f t="shared" si="123"/>
        <v>0</v>
      </c>
      <c r="I629" s="1452">
        <v>0</v>
      </c>
      <c r="J629" s="1452">
        <v>0</v>
      </c>
      <c r="K629" s="1414"/>
      <c r="L629" s="1414"/>
      <c r="M629" s="1414">
        <f t="shared" si="128"/>
        <v>0</v>
      </c>
      <c r="N629" s="1414">
        <f t="shared" si="125"/>
        <v>0</v>
      </c>
      <c r="O629" s="1453">
        <f t="shared" si="126"/>
        <v>0</v>
      </c>
      <c r="P629" s="1328">
        <f t="shared" si="127"/>
        <v>0</v>
      </c>
    </row>
    <row r="630" spans="1:16" ht="15.5" hidden="1" customHeight="1" outlineLevel="1" thickBot="1" x14ac:dyDescent="0.3">
      <c r="A630" s="1411"/>
      <c r="B630" s="1419" t="str">
        <f t="shared" si="132"/>
        <v>IDC</v>
      </c>
      <c r="C630" s="1411" t="str">
        <f t="shared" si="132"/>
        <v>MERC/CAPEX/20162017/01426</v>
      </c>
      <c r="D630" s="1454">
        <f t="shared" si="132"/>
        <v>42768</v>
      </c>
      <c r="E630" s="1414">
        <f t="shared" si="132"/>
        <v>7.4628099173553716E-2</v>
      </c>
      <c r="F630" s="1452">
        <f t="shared" si="121"/>
        <v>0</v>
      </c>
      <c r="G630" s="1452">
        <f t="shared" si="122"/>
        <v>0</v>
      </c>
      <c r="H630" s="1452">
        <f t="shared" si="123"/>
        <v>0</v>
      </c>
      <c r="I630" s="1452">
        <v>0</v>
      </c>
      <c r="J630" s="1452">
        <v>0</v>
      </c>
      <c r="K630" s="1414"/>
      <c r="L630" s="1414"/>
      <c r="M630" s="1414">
        <f t="shared" si="128"/>
        <v>0</v>
      </c>
      <c r="N630" s="1414">
        <f t="shared" si="125"/>
        <v>0</v>
      </c>
      <c r="O630" s="1453">
        <f t="shared" si="126"/>
        <v>0</v>
      </c>
      <c r="P630" s="1328">
        <f t="shared" si="127"/>
        <v>0</v>
      </c>
    </row>
    <row r="631" spans="1:16" ht="46.5" hidden="1" customHeight="1" outlineLevel="1" thickBot="1" x14ac:dyDescent="0.3">
      <c r="A631" s="1406">
        <f>A536</f>
        <v>14</v>
      </c>
      <c r="B631" s="1407" t="str">
        <f t="shared" si="132"/>
        <v>Upgradation of Symphony Harmony DCS, 220V 1285 AH Battery &amp; Charger and Replacement of 6.6 kV HT MOCB by VCB at BTPS, Bhusawal</v>
      </c>
      <c r="C631" s="1406" t="str">
        <f t="shared" si="132"/>
        <v>MERC/CAPEX/2019-2020/915</v>
      </c>
      <c r="D631" s="1451">
        <f t="shared" si="132"/>
        <v>43760</v>
      </c>
      <c r="E631" s="1452">
        <f t="shared" si="132"/>
        <v>13.72861</v>
      </c>
      <c r="F631" s="1452">
        <f t="shared" si="121"/>
        <v>0</v>
      </c>
      <c r="G631" s="1452">
        <f t="shared" si="122"/>
        <v>0</v>
      </c>
      <c r="H631" s="1452">
        <f t="shared" si="123"/>
        <v>0</v>
      </c>
      <c r="I631" s="1452">
        <v>0</v>
      </c>
      <c r="J631" s="1452">
        <v>0</v>
      </c>
      <c r="K631" s="1452"/>
      <c r="L631" s="1452"/>
      <c r="M631" s="1452">
        <f t="shared" si="128"/>
        <v>0</v>
      </c>
      <c r="N631" s="1452">
        <f t="shared" si="125"/>
        <v>0</v>
      </c>
      <c r="O631" s="1453">
        <f t="shared" si="126"/>
        <v>0</v>
      </c>
      <c r="P631" s="1328">
        <f t="shared" si="127"/>
        <v>0</v>
      </c>
    </row>
    <row r="632" spans="1:16" ht="31" hidden="1" customHeight="1" outlineLevel="1" thickBot="1" x14ac:dyDescent="0.3">
      <c r="A632" s="1411">
        <f>A537</f>
        <v>14.1</v>
      </c>
      <c r="B632" s="1419" t="str">
        <f t="shared" si="132"/>
        <v>HMI Up-gradation of Symphony Harmony DCS Unit-3, 210MW, BTPS.</v>
      </c>
      <c r="C632" s="1411" t="str">
        <f t="shared" si="132"/>
        <v>MERC/CAPEX/2019-2020/915</v>
      </c>
      <c r="D632" s="1454">
        <f t="shared" si="132"/>
        <v>43760</v>
      </c>
      <c r="E632" s="1457">
        <f t="shared" si="132"/>
        <v>5.54</v>
      </c>
      <c r="F632" s="1452">
        <f t="shared" si="121"/>
        <v>5.54</v>
      </c>
      <c r="G632" s="1452">
        <f t="shared" si="122"/>
        <v>5.54</v>
      </c>
      <c r="H632" s="1452">
        <f t="shared" si="123"/>
        <v>0</v>
      </c>
      <c r="I632" s="1452">
        <v>0</v>
      </c>
      <c r="J632" s="1452">
        <v>0</v>
      </c>
      <c r="K632" s="1457"/>
      <c r="L632" s="1457"/>
      <c r="M632" s="1457">
        <f t="shared" si="128"/>
        <v>0</v>
      </c>
      <c r="N632" s="1457">
        <f t="shared" si="125"/>
        <v>0</v>
      </c>
      <c r="O632" s="1453">
        <f t="shared" si="126"/>
        <v>0</v>
      </c>
      <c r="P632" s="1328">
        <f t="shared" si="127"/>
        <v>0</v>
      </c>
    </row>
    <row r="633" spans="1:16" ht="46.5" hidden="1" customHeight="1" outlineLevel="1" thickBot="1" x14ac:dyDescent="0.3">
      <c r="A633" s="1411">
        <f>A538</f>
        <v>14.2</v>
      </c>
      <c r="B633" s="1419" t="str">
        <f t="shared" si="132"/>
        <v>Supply, erection, commissioning and site testing of Plante 220V DC, 1285 AH, Station Battery Set and charging equipment for 1285 AH Plante battery for Unit 3.</v>
      </c>
      <c r="C633" s="1411" t="str">
        <f t="shared" si="132"/>
        <v>MERC/CAPEX/2019-2020/915</v>
      </c>
      <c r="D633" s="1454">
        <f t="shared" si="132"/>
        <v>43760</v>
      </c>
      <c r="E633" s="1457">
        <f t="shared" si="132"/>
        <v>1.71861</v>
      </c>
      <c r="F633" s="1452">
        <f t="shared" si="121"/>
        <v>1.71861</v>
      </c>
      <c r="G633" s="1452">
        <f t="shared" si="122"/>
        <v>1.71861</v>
      </c>
      <c r="H633" s="1452">
        <f t="shared" si="123"/>
        <v>0</v>
      </c>
      <c r="I633" s="1452">
        <v>0</v>
      </c>
      <c r="J633" s="1452">
        <v>0</v>
      </c>
      <c r="K633" s="1457"/>
      <c r="L633" s="1457"/>
      <c r="M633" s="1457">
        <f t="shared" si="128"/>
        <v>0</v>
      </c>
      <c r="N633" s="1457">
        <f t="shared" si="125"/>
        <v>0</v>
      </c>
      <c r="O633" s="1453">
        <f t="shared" si="126"/>
        <v>0</v>
      </c>
      <c r="P633" s="1328">
        <f t="shared" si="127"/>
        <v>0</v>
      </c>
    </row>
    <row r="634" spans="1:16" ht="31" hidden="1" customHeight="1" outlineLevel="1" thickBot="1" x14ac:dyDescent="0.3">
      <c r="A634" s="1411">
        <f>A539</f>
        <v>14.3</v>
      </c>
      <c r="B634" s="1419" t="str">
        <f t="shared" si="132"/>
        <v>Retrofitting of 6.6 kv breakers of unit -3 along without door plant boards by vacuum circuit breakers.</v>
      </c>
      <c r="C634" s="1411" t="str">
        <f t="shared" si="132"/>
        <v>MERC/CAPEX/2019-2020/915</v>
      </c>
      <c r="D634" s="1454">
        <f t="shared" si="132"/>
        <v>43760</v>
      </c>
      <c r="E634" s="1457">
        <f t="shared" si="132"/>
        <v>6.47</v>
      </c>
      <c r="F634" s="1452">
        <f t="shared" si="121"/>
        <v>6.1082700000000001</v>
      </c>
      <c r="G634" s="1452">
        <f t="shared" si="122"/>
        <v>6.1082700000000001</v>
      </c>
      <c r="H634" s="1452">
        <f t="shared" si="123"/>
        <v>0</v>
      </c>
      <c r="I634" s="1452">
        <v>0</v>
      </c>
      <c r="J634" s="1452">
        <v>0</v>
      </c>
      <c r="K634" s="1457"/>
      <c r="L634" s="1457"/>
      <c r="M634" s="1457">
        <f t="shared" si="128"/>
        <v>0</v>
      </c>
      <c r="N634" s="1457">
        <f t="shared" si="125"/>
        <v>0</v>
      </c>
      <c r="O634" s="1453">
        <f t="shared" si="126"/>
        <v>0</v>
      </c>
      <c r="P634" s="1328">
        <f t="shared" si="127"/>
        <v>0</v>
      </c>
    </row>
    <row r="635" spans="1:16" ht="15.5" hidden="1" customHeight="1" outlineLevel="1" thickBot="1" x14ac:dyDescent="0.3">
      <c r="A635" s="1411"/>
      <c r="B635" s="1419" t="str">
        <f t="shared" si="132"/>
        <v>IDC</v>
      </c>
      <c r="C635" s="1411" t="str">
        <f t="shared" si="132"/>
        <v>MERC/CAPEX/2019-2020/915</v>
      </c>
      <c r="D635" s="1454">
        <f t="shared" si="132"/>
        <v>43760</v>
      </c>
      <c r="E635" s="1457">
        <f t="shared" si="132"/>
        <v>0</v>
      </c>
      <c r="F635" s="1452">
        <f t="shared" si="121"/>
        <v>0</v>
      </c>
      <c r="G635" s="1452">
        <f t="shared" si="122"/>
        <v>0</v>
      </c>
      <c r="H635" s="1452">
        <f t="shared" si="123"/>
        <v>0</v>
      </c>
      <c r="I635" s="1452">
        <v>0</v>
      </c>
      <c r="J635" s="1452">
        <v>0</v>
      </c>
      <c r="K635" s="1457"/>
      <c r="L635" s="1457"/>
      <c r="M635" s="1457">
        <f t="shared" si="128"/>
        <v>0</v>
      </c>
      <c r="N635" s="1457">
        <f t="shared" si="125"/>
        <v>0</v>
      </c>
      <c r="O635" s="1453">
        <f t="shared" si="126"/>
        <v>0</v>
      </c>
      <c r="P635" s="1328">
        <f t="shared" si="127"/>
        <v>0</v>
      </c>
    </row>
    <row r="636" spans="1:16" ht="46.5" hidden="1" customHeight="1" outlineLevel="1" thickBot="1" x14ac:dyDescent="0.3">
      <c r="A636" s="1406" t="str">
        <f t="shared" ref="A636:E651" si="133">A541</f>
        <v>HO
DPR-5</v>
      </c>
      <c r="B636" s="1407" t="str">
        <f t="shared" si="133"/>
        <v>Procurement of energy efficient HT motors at Bhusawal TPS, Koradi TPS, Chandrapur TPS, khaperkheda TPS, Parli TPS &amp; Paras TPS as insurance spares</v>
      </c>
      <c r="C636" s="1406" t="str">
        <f t="shared" si="133"/>
        <v>MERC/TECH 1/CAPEX/20142015/01218</v>
      </c>
      <c r="D636" s="1451">
        <f t="shared" si="133"/>
        <v>41968</v>
      </c>
      <c r="E636" s="1452">
        <f t="shared" si="133"/>
        <v>1.91</v>
      </c>
      <c r="F636" s="1452">
        <f t="shared" si="121"/>
        <v>0</v>
      </c>
      <c r="G636" s="1452">
        <f t="shared" si="122"/>
        <v>0</v>
      </c>
      <c r="H636" s="1452">
        <f t="shared" si="123"/>
        <v>0</v>
      </c>
      <c r="I636" s="1452">
        <v>0</v>
      </c>
      <c r="J636" s="1452">
        <v>0</v>
      </c>
      <c r="K636" s="1458"/>
      <c r="L636" s="1458"/>
      <c r="M636" s="1458">
        <f t="shared" si="128"/>
        <v>0</v>
      </c>
      <c r="N636" s="1458">
        <f t="shared" si="125"/>
        <v>0</v>
      </c>
      <c r="O636" s="1453">
        <f t="shared" si="126"/>
        <v>0</v>
      </c>
      <c r="P636" s="1328">
        <f t="shared" si="127"/>
        <v>0</v>
      </c>
    </row>
    <row r="637" spans="1:16" ht="31" hidden="1" customHeight="1" outlineLevel="1" thickBot="1" x14ac:dyDescent="0.4">
      <c r="A637" s="1416" t="str">
        <f t="shared" si="133"/>
        <v>HO
DPR 5.1</v>
      </c>
      <c r="B637" s="1422" t="str">
        <f t="shared" si="133"/>
        <v>Bhusawal: Procurement of HT motors (Coal Mill/CEP/CWP) for U-3</v>
      </c>
      <c r="C637" s="1416" t="str">
        <f t="shared" si="133"/>
        <v>MERC/TECH 1/CAPEX/20142015/01218</v>
      </c>
      <c r="D637" s="1456">
        <f t="shared" si="133"/>
        <v>41968</v>
      </c>
      <c r="E637" s="1455">
        <f t="shared" si="133"/>
        <v>1.91</v>
      </c>
      <c r="F637" s="1452">
        <f t="shared" si="121"/>
        <v>0.69702600000000003</v>
      </c>
      <c r="G637" s="1452">
        <f t="shared" si="122"/>
        <v>0.69702600000000003</v>
      </c>
      <c r="H637" s="1452">
        <f t="shared" si="123"/>
        <v>0</v>
      </c>
      <c r="I637" s="1452">
        <v>0</v>
      </c>
      <c r="J637" s="1452">
        <v>0</v>
      </c>
      <c r="K637" s="1455"/>
      <c r="L637" s="1455"/>
      <c r="M637" s="1455">
        <f t="shared" si="128"/>
        <v>0</v>
      </c>
      <c r="N637" s="1455">
        <f t="shared" si="125"/>
        <v>0</v>
      </c>
      <c r="O637" s="1453">
        <f t="shared" si="126"/>
        <v>0</v>
      </c>
      <c r="P637" s="1328">
        <f t="shared" si="127"/>
        <v>0</v>
      </c>
    </row>
    <row r="638" spans="1:16" ht="46.5" hidden="1" customHeight="1" outlineLevel="1" thickBot="1" x14ac:dyDescent="0.3">
      <c r="A638" s="1406" t="str">
        <f t="shared" si="133"/>
        <v>HO
DPR 6</v>
      </c>
      <c r="B638" s="1407" t="str">
        <f t="shared" si="133"/>
        <v>Supply, Installation, Commissioning and Operation &amp; Maintenance Services of Continuous Ambient Air Quality Monitoring Stations (CAAQMS) at various TPS</v>
      </c>
      <c r="C638" s="1406" t="str">
        <f t="shared" si="133"/>
        <v>MERC/CAPEX/20162017/00423</v>
      </c>
      <c r="D638" s="1451">
        <f t="shared" si="133"/>
        <v>42585</v>
      </c>
      <c r="E638" s="1452">
        <f t="shared" si="133"/>
        <v>1.3257526714285714</v>
      </c>
      <c r="F638" s="1452">
        <f t="shared" si="121"/>
        <v>0</v>
      </c>
      <c r="G638" s="1452">
        <f t="shared" si="122"/>
        <v>0</v>
      </c>
      <c r="H638" s="1452">
        <f t="shared" si="123"/>
        <v>0</v>
      </c>
      <c r="I638" s="1452">
        <v>0</v>
      </c>
      <c r="J638" s="1452">
        <v>0</v>
      </c>
      <c r="K638" s="1458"/>
      <c r="L638" s="1458"/>
      <c r="M638" s="1458">
        <f t="shared" si="128"/>
        <v>0</v>
      </c>
      <c r="N638" s="1458">
        <f t="shared" si="125"/>
        <v>0</v>
      </c>
      <c r="O638" s="1453">
        <f t="shared" si="126"/>
        <v>0</v>
      </c>
      <c r="P638" s="1328">
        <f t="shared" si="127"/>
        <v>0</v>
      </c>
    </row>
    <row r="639" spans="1:16" ht="31" hidden="1" customHeight="1" outlineLevel="1" thickBot="1" x14ac:dyDescent="0.4">
      <c r="A639" s="1416" t="str">
        <f t="shared" si="133"/>
        <v>HO
DPR 6.1</v>
      </c>
      <c r="B639" s="1422" t="str">
        <f t="shared" si="133"/>
        <v>Bhusawal: Unit 2-3 (1 Nos.)</v>
      </c>
      <c r="C639" s="1416" t="str">
        <f t="shared" si="133"/>
        <v>MERC/CAPEX/20162017/00423</v>
      </c>
      <c r="D639" s="1459">
        <f t="shared" si="133"/>
        <v>42585</v>
      </c>
      <c r="E639" s="1455">
        <f t="shared" si="133"/>
        <v>1.3257526714285714</v>
      </c>
      <c r="F639" s="1452">
        <f t="shared" si="121"/>
        <v>0.9383999666666667</v>
      </c>
      <c r="G639" s="1452">
        <f t="shared" si="122"/>
        <v>0.9383999666666667</v>
      </c>
      <c r="H639" s="1452">
        <f t="shared" si="123"/>
        <v>0</v>
      </c>
      <c r="I639" s="1452">
        <v>0</v>
      </c>
      <c r="J639" s="1452">
        <v>0</v>
      </c>
      <c r="K639" s="1455"/>
      <c r="L639" s="1455"/>
      <c r="M639" s="1455">
        <f t="shared" si="128"/>
        <v>0</v>
      </c>
      <c r="N639" s="1455">
        <f t="shared" si="125"/>
        <v>0</v>
      </c>
      <c r="O639" s="1453">
        <f t="shared" si="126"/>
        <v>0</v>
      </c>
      <c r="P639" s="1328">
        <f t="shared" si="127"/>
        <v>0</v>
      </c>
    </row>
    <row r="640" spans="1:16" ht="31" hidden="1" customHeight="1" outlineLevel="1" thickBot="1" x14ac:dyDescent="0.3">
      <c r="A640" s="1406" t="str">
        <f t="shared" si="133"/>
        <v>HO
DPR 7</v>
      </c>
      <c r="B640" s="1407" t="str">
        <f t="shared" si="133"/>
        <v>Installation of Real Time Online Coal-Ash Analyzer at various TPS</v>
      </c>
      <c r="C640" s="1406" t="str">
        <f t="shared" si="133"/>
        <v>MERC/CAPEX/20162017/00774</v>
      </c>
      <c r="D640" s="1451">
        <f t="shared" si="133"/>
        <v>42643</v>
      </c>
      <c r="E640" s="1452">
        <f t="shared" si="133"/>
        <v>0</v>
      </c>
      <c r="F640" s="1452">
        <f t="shared" si="121"/>
        <v>0</v>
      </c>
      <c r="G640" s="1452">
        <f t="shared" si="122"/>
        <v>0</v>
      </c>
      <c r="H640" s="1452">
        <f t="shared" si="123"/>
        <v>0</v>
      </c>
      <c r="I640" s="1452">
        <v>0</v>
      </c>
      <c r="J640" s="1452">
        <v>0</v>
      </c>
      <c r="K640" s="1458"/>
      <c r="L640" s="1458"/>
      <c r="M640" s="1458">
        <f t="shared" si="128"/>
        <v>0</v>
      </c>
      <c r="N640" s="1458">
        <f t="shared" si="125"/>
        <v>0</v>
      </c>
      <c r="O640" s="1453">
        <f t="shared" si="126"/>
        <v>0</v>
      </c>
      <c r="P640" s="1328">
        <f t="shared" si="127"/>
        <v>0</v>
      </c>
    </row>
    <row r="641" spans="1:16" ht="31" hidden="1" customHeight="1" outlineLevel="1" thickBot="1" x14ac:dyDescent="0.4">
      <c r="A641" s="1416" t="str">
        <f t="shared" si="133"/>
        <v>HO
DPR 7.1</v>
      </c>
      <c r="B641" s="1422" t="str">
        <f t="shared" si="133"/>
        <v>Bhusawal: Unit 2-3</v>
      </c>
      <c r="C641" s="1416" t="str">
        <f t="shared" si="133"/>
        <v>MERC/CAPEX/20162017/00774</v>
      </c>
      <c r="D641" s="1459">
        <f t="shared" si="133"/>
        <v>42643</v>
      </c>
      <c r="E641" s="1455">
        <f t="shared" si="133"/>
        <v>0</v>
      </c>
      <c r="F641" s="1452">
        <f t="shared" si="121"/>
        <v>0</v>
      </c>
      <c r="G641" s="1452">
        <f t="shared" si="122"/>
        <v>0</v>
      </c>
      <c r="H641" s="1452">
        <f t="shared" si="123"/>
        <v>0</v>
      </c>
      <c r="I641" s="1452">
        <v>0</v>
      </c>
      <c r="J641" s="1452">
        <v>0</v>
      </c>
      <c r="K641" s="1455"/>
      <c r="L641" s="1455"/>
      <c r="M641" s="1455">
        <f t="shared" si="128"/>
        <v>0</v>
      </c>
      <c r="N641" s="1455">
        <f t="shared" si="125"/>
        <v>0</v>
      </c>
      <c r="O641" s="1453">
        <f t="shared" si="126"/>
        <v>0</v>
      </c>
      <c r="P641" s="1328">
        <f t="shared" si="127"/>
        <v>0</v>
      </c>
    </row>
    <row r="642" spans="1:16" ht="31" hidden="1" customHeight="1" outlineLevel="1" thickBot="1" x14ac:dyDescent="0.3">
      <c r="A642" s="1424" t="str">
        <f t="shared" si="133"/>
        <v>HO
DPR 13</v>
      </c>
      <c r="B642" s="1425" t="str">
        <f t="shared" si="133"/>
        <v>Construction of new Administrative Building for Mahagenco at Vidyut Bhawan, Katol Road, Nagpur</v>
      </c>
      <c r="C642" s="1460" t="str">
        <f t="shared" si="133"/>
        <v>MERC/CAPEX/2021-2022/MSPGCL/063</v>
      </c>
      <c r="D642" s="1461">
        <f t="shared" si="133"/>
        <v>44604</v>
      </c>
      <c r="E642" s="1462">
        <f t="shared" si="133"/>
        <v>57</v>
      </c>
      <c r="F642" s="302">
        <f t="shared" si="121"/>
        <v>0</v>
      </c>
      <c r="G642" s="302">
        <f t="shared" si="122"/>
        <v>0</v>
      </c>
      <c r="H642" s="302">
        <f t="shared" si="123"/>
        <v>0</v>
      </c>
      <c r="I642" s="1462">
        <v>0</v>
      </c>
      <c r="J642" s="1462">
        <v>0</v>
      </c>
      <c r="K642" s="302"/>
      <c r="L642" s="302"/>
      <c r="M642" s="302">
        <f t="shared" ref="M642:M669" si="134">SUM(J642:L642)</f>
        <v>0</v>
      </c>
      <c r="N642" s="302">
        <f t="shared" si="125"/>
        <v>0</v>
      </c>
    </row>
    <row r="643" spans="1:16" ht="46.5" hidden="1" customHeight="1" outlineLevel="1" thickBot="1" x14ac:dyDescent="0.3">
      <c r="A643" s="1430" t="str">
        <f t="shared" si="133"/>
        <v>HO
DPR 13.1</v>
      </c>
      <c r="B643" s="1431" t="str">
        <f t="shared" si="133"/>
        <v>Construction of new Administrative Building for Mahagenco at Vidyut Bhawan, Katol Road, Nagpur</v>
      </c>
      <c r="C643" s="1427" t="str">
        <f t="shared" si="133"/>
        <v>MERC/CAPEX/2021-2022/MSPGCL/063</v>
      </c>
      <c r="D643" s="1464">
        <f t="shared" si="133"/>
        <v>44604</v>
      </c>
      <c r="E643" s="1465">
        <f t="shared" si="133"/>
        <v>54.24</v>
      </c>
      <c r="F643" s="302">
        <f t="shared" si="121"/>
        <v>0</v>
      </c>
      <c r="G643" s="302">
        <f t="shared" si="122"/>
        <v>0</v>
      </c>
      <c r="H643" s="302">
        <f t="shared" si="123"/>
        <v>0</v>
      </c>
      <c r="I643" s="1462">
        <v>0</v>
      </c>
      <c r="J643" s="1462">
        <v>0</v>
      </c>
      <c r="K643" s="302"/>
      <c r="L643" s="302"/>
      <c r="M643" s="302">
        <f t="shared" si="134"/>
        <v>0</v>
      </c>
      <c r="N643" s="302">
        <f t="shared" si="125"/>
        <v>0</v>
      </c>
    </row>
    <row r="644" spans="1:16" ht="31" hidden="1" customHeight="1" outlineLevel="1" thickBot="1" x14ac:dyDescent="0.3">
      <c r="A644" s="1433">
        <f t="shared" si="133"/>
        <v>0</v>
      </c>
      <c r="B644" s="1431" t="str">
        <f t="shared" si="133"/>
        <v>IDC</v>
      </c>
      <c r="C644" s="1427" t="str">
        <f t="shared" si="133"/>
        <v>MERC/CAPEX/2021-2022/MSPGCL/063</v>
      </c>
      <c r="D644" s="1464">
        <f t="shared" si="133"/>
        <v>44604</v>
      </c>
      <c r="E644" s="1465">
        <f t="shared" si="133"/>
        <v>2.76</v>
      </c>
      <c r="F644" s="302">
        <f t="shared" ref="F644:F669" si="135">F549+I549</f>
        <v>0</v>
      </c>
      <c r="G644" s="302">
        <f t="shared" ref="G644:G669" si="136">G549+M549</f>
        <v>0</v>
      </c>
      <c r="H644" s="302">
        <f t="shared" ref="H644:H669" si="137">F644-G644</f>
        <v>0</v>
      </c>
      <c r="I644" s="1462">
        <v>0</v>
      </c>
      <c r="J644" s="1462">
        <v>0</v>
      </c>
      <c r="K644" s="302"/>
      <c r="L644" s="302"/>
      <c r="M644" s="302">
        <f t="shared" si="134"/>
        <v>0</v>
      </c>
      <c r="N644" s="302">
        <f t="shared" ref="N644:N669" si="138">H644+I644-M644</f>
        <v>0</v>
      </c>
    </row>
    <row r="645" spans="1:16" ht="31" hidden="1" customHeight="1" outlineLevel="1" thickBot="1" x14ac:dyDescent="0.3">
      <c r="A645" s="1424" t="str">
        <f t="shared" si="133"/>
        <v>HO
DPR 16</v>
      </c>
      <c r="B645" s="1425" t="str">
        <f t="shared" si="133"/>
        <v>Centralized Monitoring Solution</v>
      </c>
      <c r="C645" s="1460" t="str">
        <f t="shared" si="133"/>
        <v>MERC/CAPEX/MSPGCL/2023-24/0576</v>
      </c>
      <c r="D645" s="1461">
        <f t="shared" si="133"/>
        <v>45232</v>
      </c>
      <c r="E645" s="1462">
        <f t="shared" si="133"/>
        <v>69.308999999999997</v>
      </c>
      <c r="F645" s="302">
        <f t="shared" si="135"/>
        <v>0</v>
      </c>
      <c r="G645" s="302">
        <f t="shared" si="136"/>
        <v>0</v>
      </c>
      <c r="H645" s="302">
        <f t="shared" si="137"/>
        <v>0</v>
      </c>
      <c r="I645" s="1462">
        <v>0</v>
      </c>
      <c r="J645" s="1462">
        <v>0</v>
      </c>
      <c r="K645" s="302"/>
      <c r="L645" s="302"/>
      <c r="M645" s="302">
        <f t="shared" si="134"/>
        <v>0</v>
      </c>
      <c r="N645" s="302">
        <f t="shared" si="138"/>
        <v>0</v>
      </c>
    </row>
    <row r="646" spans="1:16" ht="46.5" hidden="1" customHeight="1" outlineLevel="1" thickBot="1" x14ac:dyDescent="0.3">
      <c r="A646" s="1430" t="str">
        <f t="shared" si="133"/>
        <v>HO
DPR 16.1</v>
      </c>
      <c r="B646" s="1431" t="str">
        <f t="shared" si="133"/>
        <v>Centralized Monitoring Solution</v>
      </c>
      <c r="C646" s="1427" t="str">
        <f t="shared" si="133"/>
        <v>MERC/CAPEX/MSPGCL/2023-24/0576</v>
      </c>
      <c r="D646" s="1464">
        <f t="shared" si="133"/>
        <v>45232</v>
      </c>
      <c r="E646" s="1465">
        <f t="shared" si="133"/>
        <v>66.009</v>
      </c>
      <c r="F646" s="302">
        <f t="shared" si="135"/>
        <v>0</v>
      </c>
      <c r="G646" s="302">
        <f t="shared" si="136"/>
        <v>0</v>
      </c>
      <c r="H646" s="302">
        <f t="shared" si="137"/>
        <v>0</v>
      </c>
      <c r="I646" s="1462">
        <v>0</v>
      </c>
      <c r="J646" s="1462">
        <v>0</v>
      </c>
      <c r="K646" s="302"/>
      <c r="L646" s="302"/>
      <c r="M646" s="302">
        <f t="shared" si="134"/>
        <v>0</v>
      </c>
      <c r="N646" s="302">
        <f t="shared" si="138"/>
        <v>0</v>
      </c>
    </row>
    <row r="647" spans="1:16" ht="31" hidden="1" customHeight="1" outlineLevel="1" thickBot="1" x14ac:dyDescent="0.3">
      <c r="A647" s="1433"/>
      <c r="B647" s="1431" t="str">
        <f t="shared" si="133"/>
        <v>IDC</v>
      </c>
      <c r="C647" s="1427" t="str">
        <f t="shared" si="133"/>
        <v>MERC/CAPEX/MSPGCL/2023-24/0576</v>
      </c>
      <c r="D647" s="1464">
        <f t="shared" si="133"/>
        <v>45232</v>
      </c>
      <c r="E647" s="1465">
        <f t="shared" si="133"/>
        <v>3.3</v>
      </c>
      <c r="F647" s="302">
        <f t="shared" si="135"/>
        <v>0</v>
      </c>
      <c r="G647" s="302">
        <f t="shared" si="136"/>
        <v>0</v>
      </c>
      <c r="H647" s="302">
        <f t="shared" si="137"/>
        <v>0</v>
      </c>
      <c r="I647" s="1462">
        <v>0</v>
      </c>
      <c r="J647" s="1462">
        <v>0</v>
      </c>
      <c r="K647" s="302"/>
      <c r="L647" s="302"/>
      <c r="M647" s="302">
        <f t="shared" si="134"/>
        <v>0</v>
      </c>
      <c r="N647" s="302">
        <f t="shared" si="138"/>
        <v>0</v>
      </c>
    </row>
    <row r="648" spans="1:16" ht="15.5" hidden="1" customHeight="1" outlineLevel="1" thickBot="1" x14ac:dyDescent="0.3">
      <c r="A648" s="1433"/>
      <c r="B648" s="1431">
        <f t="shared" si="133"/>
        <v>0</v>
      </c>
      <c r="C648" s="1427">
        <f t="shared" si="133"/>
        <v>0</v>
      </c>
      <c r="D648" s="1464">
        <f t="shared" si="133"/>
        <v>0</v>
      </c>
      <c r="E648" s="1465">
        <f t="shared" si="133"/>
        <v>0</v>
      </c>
      <c r="F648" s="302">
        <f t="shared" si="135"/>
        <v>0</v>
      </c>
      <c r="G648" s="302">
        <f t="shared" si="136"/>
        <v>0</v>
      </c>
      <c r="H648" s="302">
        <f t="shared" si="137"/>
        <v>0</v>
      </c>
      <c r="I648" s="1462">
        <v>0</v>
      </c>
      <c r="J648" s="1462">
        <v>0</v>
      </c>
      <c r="K648" s="302"/>
      <c r="L648" s="302"/>
      <c r="M648" s="302">
        <f t="shared" si="134"/>
        <v>0</v>
      </c>
      <c r="N648" s="302">
        <f t="shared" si="138"/>
        <v>0</v>
      </c>
    </row>
    <row r="649" spans="1:16" ht="15.5" hidden="1" customHeight="1" outlineLevel="1" thickBot="1" x14ac:dyDescent="0.3">
      <c r="A649" s="1433"/>
      <c r="B649" s="1431">
        <f t="shared" si="133"/>
        <v>0</v>
      </c>
      <c r="C649" s="1427">
        <f t="shared" si="133"/>
        <v>0</v>
      </c>
      <c r="D649" s="1464">
        <f t="shared" si="133"/>
        <v>0</v>
      </c>
      <c r="E649" s="1465">
        <f t="shared" si="133"/>
        <v>0</v>
      </c>
      <c r="F649" s="302">
        <f t="shared" si="135"/>
        <v>0</v>
      </c>
      <c r="G649" s="302">
        <f t="shared" si="136"/>
        <v>0</v>
      </c>
      <c r="H649" s="302">
        <f t="shared" si="137"/>
        <v>0</v>
      </c>
      <c r="I649" s="1462">
        <v>0</v>
      </c>
      <c r="J649" s="1462">
        <v>0</v>
      </c>
      <c r="K649" s="302"/>
      <c r="L649" s="302"/>
      <c r="M649" s="302">
        <f t="shared" si="134"/>
        <v>0</v>
      </c>
      <c r="N649" s="302">
        <f t="shared" si="138"/>
        <v>0</v>
      </c>
    </row>
    <row r="650" spans="1:16" ht="15.5" hidden="1" customHeight="1" outlineLevel="1" thickBot="1" x14ac:dyDescent="0.3">
      <c r="A650" s="1280"/>
      <c r="B650" s="1329" t="str">
        <f t="shared" si="133"/>
        <v>(ii) Submitted to MERC but yet to be approved</v>
      </c>
      <c r="C650" s="1460">
        <f t="shared" si="133"/>
        <v>0</v>
      </c>
      <c r="D650" s="1464">
        <f t="shared" si="133"/>
        <v>0</v>
      </c>
      <c r="E650" s="1465">
        <f t="shared" si="133"/>
        <v>0</v>
      </c>
      <c r="F650" s="302">
        <f t="shared" si="135"/>
        <v>0</v>
      </c>
      <c r="G650" s="302">
        <f t="shared" si="136"/>
        <v>0</v>
      </c>
      <c r="H650" s="302">
        <f t="shared" si="137"/>
        <v>0</v>
      </c>
      <c r="I650" s="1462">
        <v>0</v>
      </c>
      <c r="J650" s="1462">
        <v>0</v>
      </c>
      <c r="K650" s="302"/>
      <c r="L650" s="302"/>
      <c r="M650" s="302">
        <f t="shared" si="134"/>
        <v>0</v>
      </c>
      <c r="N650" s="302">
        <f t="shared" si="138"/>
        <v>0</v>
      </c>
    </row>
    <row r="651" spans="1:16" ht="15.5" hidden="1" customHeight="1" outlineLevel="1" thickBot="1" x14ac:dyDescent="0.3">
      <c r="A651" s="1280"/>
      <c r="B651" s="1282">
        <f t="shared" si="133"/>
        <v>0</v>
      </c>
      <c r="C651" s="1427">
        <f t="shared" si="133"/>
        <v>0</v>
      </c>
      <c r="D651" s="1464">
        <f t="shared" si="133"/>
        <v>0</v>
      </c>
      <c r="E651" s="1465">
        <f t="shared" si="133"/>
        <v>0</v>
      </c>
      <c r="F651" s="302">
        <f t="shared" si="135"/>
        <v>0</v>
      </c>
      <c r="G651" s="302">
        <f t="shared" si="136"/>
        <v>0</v>
      </c>
      <c r="H651" s="302">
        <f t="shared" si="137"/>
        <v>0</v>
      </c>
      <c r="I651" s="1462">
        <v>0</v>
      </c>
      <c r="J651" s="1462">
        <v>0</v>
      </c>
      <c r="K651" s="302"/>
      <c r="L651" s="302"/>
      <c r="M651" s="302">
        <f t="shared" si="134"/>
        <v>0</v>
      </c>
      <c r="N651" s="302">
        <f t="shared" si="138"/>
        <v>0</v>
      </c>
    </row>
    <row r="652" spans="1:16" ht="15.5" hidden="1" customHeight="1" outlineLevel="1" thickBot="1" x14ac:dyDescent="0.3">
      <c r="A652" s="1301"/>
      <c r="B652" s="1329" t="str">
        <f t="shared" ref="B652:E657" si="139">B557</f>
        <v>(iii) Yet to be submitted to MERC</v>
      </c>
      <c r="C652" s="1460">
        <f t="shared" si="139"/>
        <v>0</v>
      </c>
      <c r="D652" s="1464">
        <f t="shared" si="139"/>
        <v>0</v>
      </c>
      <c r="E652" s="1465">
        <f t="shared" si="139"/>
        <v>0</v>
      </c>
      <c r="F652" s="302">
        <f t="shared" si="135"/>
        <v>0</v>
      </c>
      <c r="G652" s="302">
        <f t="shared" si="136"/>
        <v>0</v>
      </c>
      <c r="H652" s="302">
        <f t="shared" si="137"/>
        <v>0</v>
      </c>
      <c r="I652" s="1462">
        <v>0</v>
      </c>
      <c r="J652" s="1462">
        <v>0</v>
      </c>
      <c r="K652" s="302"/>
      <c r="L652" s="302"/>
      <c r="M652" s="302">
        <f t="shared" si="134"/>
        <v>0</v>
      </c>
      <c r="N652" s="302">
        <f t="shared" si="138"/>
        <v>0</v>
      </c>
    </row>
    <row r="653" spans="1:16" ht="18" hidden="1" customHeight="1" outlineLevel="1" thickBot="1" x14ac:dyDescent="0.3">
      <c r="A653" s="1304"/>
      <c r="B653" s="1305" t="str">
        <f t="shared" si="139"/>
        <v>FY 2026-27</v>
      </c>
      <c r="C653" s="1460">
        <f t="shared" si="139"/>
        <v>0</v>
      </c>
      <c r="D653" s="1464">
        <f t="shared" si="139"/>
        <v>0</v>
      </c>
      <c r="E653" s="1465">
        <f t="shared" si="139"/>
        <v>0</v>
      </c>
      <c r="F653" s="302">
        <f t="shared" si="135"/>
        <v>0</v>
      </c>
      <c r="G653" s="302">
        <f t="shared" si="136"/>
        <v>0</v>
      </c>
      <c r="H653" s="302">
        <f t="shared" si="137"/>
        <v>0</v>
      </c>
      <c r="I653" s="1462">
        <v>0</v>
      </c>
      <c r="J653" s="1462">
        <v>0</v>
      </c>
      <c r="K653" s="302"/>
      <c r="L653" s="302"/>
      <c r="M653" s="302">
        <f t="shared" si="134"/>
        <v>0</v>
      </c>
      <c r="N653" s="302">
        <f t="shared" si="138"/>
        <v>0</v>
      </c>
    </row>
    <row r="654" spans="1:16" ht="31" hidden="1" customHeight="1" outlineLevel="1" thickBot="1" x14ac:dyDescent="0.3">
      <c r="A654" s="1308">
        <f>A559</f>
        <v>1</v>
      </c>
      <c r="B654" s="1425" t="str">
        <f t="shared" si="139"/>
        <v>R&amp;M/LE for Identified Thermal units of MSPGCL  of BTPS U-3 (210 MW)</v>
      </c>
      <c r="C654" s="1460">
        <f t="shared" si="139"/>
        <v>0</v>
      </c>
      <c r="D654" s="1464">
        <f t="shared" si="139"/>
        <v>0</v>
      </c>
      <c r="E654" s="1465">
        <f t="shared" si="139"/>
        <v>0</v>
      </c>
      <c r="F654" s="302">
        <f t="shared" si="135"/>
        <v>0</v>
      </c>
      <c r="G654" s="302">
        <f t="shared" si="136"/>
        <v>0</v>
      </c>
      <c r="H654" s="302">
        <f t="shared" si="137"/>
        <v>0</v>
      </c>
      <c r="I654" s="1462">
        <v>0</v>
      </c>
      <c r="J654" s="1462">
        <v>0</v>
      </c>
      <c r="K654" s="302"/>
      <c r="L654" s="302"/>
      <c r="M654" s="302">
        <f t="shared" si="134"/>
        <v>0</v>
      </c>
      <c r="N654" s="302">
        <f t="shared" si="138"/>
        <v>0</v>
      </c>
    </row>
    <row r="655" spans="1:16" ht="31" hidden="1" customHeight="1" outlineLevel="1" thickBot="1" x14ac:dyDescent="0.3">
      <c r="A655" s="1313">
        <f>A560</f>
        <v>1.1000000000000001</v>
      </c>
      <c r="B655" s="1431" t="str">
        <f t="shared" si="139"/>
        <v>R&amp;M/LE for Identified Thermal units of MSPGCL  of BTPS U-3 (210 MW)</v>
      </c>
      <c r="C655" s="1460">
        <f t="shared" si="139"/>
        <v>0</v>
      </c>
      <c r="D655" s="1464">
        <f t="shared" si="139"/>
        <v>0</v>
      </c>
      <c r="E655" s="1465">
        <f t="shared" si="139"/>
        <v>0</v>
      </c>
      <c r="F655" s="302">
        <f t="shared" si="135"/>
        <v>398</v>
      </c>
      <c r="G655" s="302">
        <f t="shared" si="136"/>
        <v>398</v>
      </c>
      <c r="H655" s="302">
        <f t="shared" si="137"/>
        <v>0</v>
      </c>
      <c r="I655" s="1462">
        <v>0</v>
      </c>
      <c r="J655" s="1462">
        <v>0</v>
      </c>
      <c r="K655" s="302"/>
      <c r="L655" s="302"/>
      <c r="M655" s="302">
        <f t="shared" si="134"/>
        <v>0</v>
      </c>
      <c r="N655" s="302">
        <f t="shared" si="138"/>
        <v>0</v>
      </c>
    </row>
    <row r="656" spans="1:16" ht="15.5" hidden="1" customHeight="1" outlineLevel="1" thickBot="1" x14ac:dyDescent="0.35">
      <c r="A656" s="1301"/>
      <c r="B656" s="265">
        <f t="shared" si="139"/>
        <v>0</v>
      </c>
      <c r="C656" s="1460">
        <f t="shared" si="139"/>
        <v>0</v>
      </c>
      <c r="D656" s="1464">
        <f t="shared" si="139"/>
        <v>0</v>
      </c>
      <c r="E656" s="1465">
        <f t="shared" si="139"/>
        <v>0</v>
      </c>
      <c r="F656" s="302">
        <f t="shared" si="135"/>
        <v>0</v>
      </c>
      <c r="G656" s="302">
        <f t="shared" si="136"/>
        <v>0</v>
      </c>
      <c r="H656" s="302">
        <f t="shared" si="137"/>
        <v>0</v>
      </c>
      <c r="I656" s="1462">
        <v>0</v>
      </c>
      <c r="J656" s="1462">
        <v>0</v>
      </c>
      <c r="K656" s="302"/>
      <c r="L656" s="302"/>
      <c r="M656" s="302">
        <f t="shared" si="134"/>
        <v>0</v>
      </c>
      <c r="N656" s="302">
        <f t="shared" si="138"/>
        <v>0</v>
      </c>
    </row>
    <row r="657" spans="1:14" ht="15.5" hidden="1" customHeight="1" outlineLevel="1" thickBot="1" x14ac:dyDescent="0.35">
      <c r="A657" s="1301"/>
      <c r="B657" s="528" t="str">
        <f t="shared" si="139"/>
        <v>B) Non-DPR Schemes</v>
      </c>
      <c r="C657" s="1427">
        <f t="shared" si="139"/>
        <v>0</v>
      </c>
      <c r="D657" s="1464">
        <f t="shared" si="139"/>
        <v>0</v>
      </c>
      <c r="E657" s="1465">
        <f t="shared" si="139"/>
        <v>0</v>
      </c>
      <c r="F657" s="315">
        <f t="shared" si="135"/>
        <v>0</v>
      </c>
      <c r="G657" s="315">
        <f t="shared" si="136"/>
        <v>0</v>
      </c>
      <c r="H657" s="315">
        <f t="shared" si="137"/>
        <v>0</v>
      </c>
      <c r="I657" s="1462">
        <v>0</v>
      </c>
      <c r="J657" s="1462">
        <v>0</v>
      </c>
      <c r="K657" s="315"/>
      <c r="L657" s="315"/>
      <c r="M657" s="315">
        <f t="shared" si="134"/>
        <v>0</v>
      </c>
      <c r="N657" s="315">
        <f t="shared" si="138"/>
        <v>0</v>
      </c>
    </row>
    <row r="658" spans="1:14" ht="28" hidden="1" customHeight="1" outlineLevel="1" thickBot="1" x14ac:dyDescent="0.35">
      <c r="A658" s="1301">
        <f t="shared" ref="A658:E669" si="140">A563</f>
        <v>1</v>
      </c>
      <c r="B658" s="1315" t="str">
        <f t="shared" si="140"/>
        <v>Design, Supply and Installation for capacity enhancement of conveyor No. 08 at CHP210MW, BTPS.</v>
      </c>
      <c r="C658" s="1427">
        <f t="shared" si="140"/>
        <v>0</v>
      </c>
      <c r="D658" s="1464">
        <f t="shared" si="140"/>
        <v>0</v>
      </c>
      <c r="E658" s="1465">
        <f t="shared" si="140"/>
        <v>0</v>
      </c>
      <c r="F658" s="315">
        <f t="shared" si="135"/>
        <v>1.80009</v>
      </c>
      <c r="G658" s="315">
        <f t="shared" si="136"/>
        <v>1.80009</v>
      </c>
      <c r="H658" s="315">
        <f t="shared" si="137"/>
        <v>0</v>
      </c>
      <c r="I658" s="1462">
        <v>0</v>
      </c>
      <c r="J658" s="1462">
        <v>0</v>
      </c>
      <c r="K658" s="315"/>
      <c r="L658" s="315"/>
      <c r="M658" s="315">
        <f t="shared" si="134"/>
        <v>0</v>
      </c>
      <c r="N658" s="315">
        <f t="shared" si="138"/>
        <v>0</v>
      </c>
    </row>
    <row r="659" spans="1:14" ht="15.5" hidden="1" customHeight="1" outlineLevel="1" thickBot="1" x14ac:dyDescent="0.35">
      <c r="A659" s="1301">
        <f t="shared" si="140"/>
        <v>2</v>
      </c>
      <c r="B659" s="265" t="str">
        <f t="shared" si="140"/>
        <v>SPEAKER &amp; PTZ CAMER</v>
      </c>
      <c r="C659" s="1427">
        <f t="shared" si="140"/>
        <v>0</v>
      </c>
      <c r="D659" s="1464">
        <f t="shared" si="140"/>
        <v>0</v>
      </c>
      <c r="E659" s="1465">
        <f t="shared" si="140"/>
        <v>0</v>
      </c>
      <c r="F659" s="315">
        <f t="shared" si="135"/>
        <v>3.1968099999999999E-2</v>
      </c>
      <c r="G659" s="315">
        <f t="shared" si="136"/>
        <v>3.1968099999999999E-2</v>
      </c>
      <c r="H659" s="315">
        <f t="shared" si="137"/>
        <v>0</v>
      </c>
      <c r="I659" s="1462">
        <v>0</v>
      </c>
      <c r="J659" s="1462">
        <v>0</v>
      </c>
      <c r="K659" s="315"/>
      <c r="L659" s="315"/>
      <c r="M659" s="315">
        <f t="shared" si="134"/>
        <v>0</v>
      </c>
      <c r="N659" s="315">
        <f t="shared" si="138"/>
        <v>0</v>
      </c>
    </row>
    <row r="660" spans="1:14" ht="15.5" hidden="1" customHeight="1" outlineLevel="1" thickBot="1" x14ac:dyDescent="0.35">
      <c r="A660" s="1301">
        <f t="shared" si="140"/>
        <v>3</v>
      </c>
      <c r="B660" s="265" t="str">
        <f t="shared" si="140"/>
        <v>50 INCH TV &amp; 2TN AC</v>
      </c>
      <c r="C660" s="1427">
        <f t="shared" si="140"/>
        <v>0</v>
      </c>
      <c r="D660" s="1464">
        <f t="shared" si="140"/>
        <v>0</v>
      </c>
      <c r="E660" s="1465">
        <f t="shared" si="140"/>
        <v>0</v>
      </c>
      <c r="F660" s="315">
        <f t="shared" si="135"/>
        <v>6.4529699999999995E-2</v>
      </c>
      <c r="G660" s="315">
        <f t="shared" si="136"/>
        <v>6.4529699999999995E-2</v>
      </c>
      <c r="H660" s="315">
        <f t="shared" si="137"/>
        <v>0</v>
      </c>
      <c r="I660" s="1462">
        <v>0</v>
      </c>
      <c r="J660" s="1462">
        <v>0</v>
      </c>
      <c r="K660" s="315"/>
      <c r="L660" s="315"/>
      <c r="M660" s="315">
        <f t="shared" si="134"/>
        <v>0</v>
      </c>
      <c r="N660" s="315">
        <f t="shared" si="138"/>
        <v>0</v>
      </c>
    </row>
    <row r="661" spans="1:14" ht="15.5" hidden="1" customHeight="1" outlineLevel="1" thickBot="1" x14ac:dyDescent="0.35">
      <c r="A661" s="1301">
        <f t="shared" si="140"/>
        <v>4</v>
      </c>
      <c r="B661" s="817" t="str">
        <f t="shared" si="140"/>
        <v>Fixtures &amp; Fitting (10801)</v>
      </c>
      <c r="C661" s="1427">
        <f t="shared" si="140"/>
        <v>0</v>
      </c>
      <c r="D661" s="1464">
        <f t="shared" si="140"/>
        <v>0</v>
      </c>
      <c r="E661" s="1465">
        <f t="shared" si="140"/>
        <v>0</v>
      </c>
      <c r="F661" s="315">
        <f t="shared" si="135"/>
        <v>2.2089600000000001E-2</v>
      </c>
      <c r="G661" s="315">
        <f t="shared" si="136"/>
        <v>2.2089600000000001E-2</v>
      </c>
      <c r="H661" s="315">
        <f t="shared" si="137"/>
        <v>0</v>
      </c>
      <c r="I661" s="1462">
        <v>0</v>
      </c>
      <c r="J661" s="1462">
        <v>0</v>
      </c>
      <c r="K661" s="315"/>
      <c r="L661" s="315"/>
      <c r="M661" s="315">
        <f t="shared" si="134"/>
        <v>0</v>
      </c>
      <c r="N661" s="315">
        <f t="shared" si="138"/>
        <v>0</v>
      </c>
    </row>
    <row r="662" spans="1:14" ht="15.5" hidden="1" customHeight="1" outlineLevel="1" thickBot="1" x14ac:dyDescent="0.35">
      <c r="A662" s="1301">
        <f t="shared" si="140"/>
        <v>5</v>
      </c>
      <c r="B662" s="817" t="str">
        <f t="shared" si="140"/>
        <v>Office equpment (10901)</v>
      </c>
      <c r="C662" s="1427">
        <f t="shared" si="140"/>
        <v>0</v>
      </c>
      <c r="D662" s="1464">
        <f t="shared" si="140"/>
        <v>0</v>
      </c>
      <c r="E662" s="1465">
        <f t="shared" si="140"/>
        <v>0</v>
      </c>
      <c r="F662" s="315">
        <f t="shared" si="135"/>
        <v>0.60696666700000002</v>
      </c>
      <c r="G662" s="315">
        <f t="shared" si="136"/>
        <v>0.60696666700000002</v>
      </c>
      <c r="H662" s="315">
        <f t="shared" si="137"/>
        <v>0</v>
      </c>
      <c r="I662" s="1462">
        <v>0</v>
      </c>
      <c r="J662" s="1462">
        <v>0</v>
      </c>
      <c r="K662" s="315"/>
      <c r="L662" s="315"/>
      <c r="M662" s="315">
        <f t="shared" si="134"/>
        <v>0</v>
      </c>
      <c r="N662" s="315">
        <f t="shared" si="138"/>
        <v>0</v>
      </c>
    </row>
    <row r="663" spans="1:14" ht="15.5" hidden="1" customHeight="1" outlineLevel="1" thickBot="1" x14ac:dyDescent="0.35">
      <c r="A663" s="1301">
        <f t="shared" si="140"/>
        <v>6</v>
      </c>
      <c r="B663" s="265" t="str">
        <f t="shared" si="140"/>
        <v>Gearboxes for CHP Elecon Make</v>
      </c>
      <c r="C663" s="1427">
        <f t="shared" si="140"/>
        <v>0</v>
      </c>
      <c r="D663" s="1464">
        <f t="shared" si="140"/>
        <v>0</v>
      </c>
      <c r="E663" s="1465">
        <f t="shared" si="140"/>
        <v>0</v>
      </c>
      <c r="F663" s="315">
        <f t="shared" si="135"/>
        <v>0.345735079</v>
      </c>
      <c r="G663" s="315">
        <f t="shared" si="136"/>
        <v>0.345735079</v>
      </c>
      <c r="H663" s="315">
        <f t="shared" si="137"/>
        <v>0</v>
      </c>
      <c r="I663" s="1462">
        <v>0</v>
      </c>
      <c r="J663" s="1462">
        <v>0</v>
      </c>
      <c r="K663" s="315"/>
      <c r="L663" s="315"/>
      <c r="M663" s="315">
        <f t="shared" si="134"/>
        <v>0</v>
      </c>
      <c r="N663" s="315">
        <f t="shared" si="138"/>
        <v>0</v>
      </c>
    </row>
    <row r="664" spans="1:14" ht="15.5" hidden="1" customHeight="1" outlineLevel="1" thickBot="1" x14ac:dyDescent="0.4">
      <c r="A664" s="1301">
        <f t="shared" si="140"/>
        <v>7</v>
      </c>
      <c r="B664" s="1319" t="str">
        <f t="shared" si="140"/>
        <v>General Assets</v>
      </c>
      <c r="C664" s="1427">
        <f t="shared" si="140"/>
        <v>0</v>
      </c>
      <c r="D664" s="1464">
        <f t="shared" si="140"/>
        <v>0</v>
      </c>
      <c r="E664" s="1465">
        <f t="shared" si="140"/>
        <v>0</v>
      </c>
      <c r="F664" s="315">
        <f t="shared" si="135"/>
        <v>0</v>
      </c>
      <c r="G664" s="315">
        <f t="shared" si="136"/>
        <v>0</v>
      </c>
      <c r="H664" s="315">
        <f t="shared" si="137"/>
        <v>0</v>
      </c>
      <c r="I664" s="1462">
        <v>0</v>
      </c>
      <c r="J664" s="1462">
        <v>0</v>
      </c>
      <c r="K664" s="315"/>
      <c r="L664" s="315"/>
      <c r="M664" s="315">
        <f t="shared" si="134"/>
        <v>0</v>
      </c>
      <c r="N664" s="315">
        <f t="shared" si="138"/>
        <v>0</v>
      </c>
    </row>
    <row r="665" spans="1:14" ht="15.5" hidden="1" customHeight="1" outlineLevel="1" thickBot="1" x14ac:dyDescent="0.4">
      <c r="A665" s="1301">
        <f t="shared" si="140"/>
        <v>8</v>
      </c>
      <c r="B665" s="1319" t="str">
        <f t="shared" si="140"/>
        <v>Furniture &amp; Fixture</v>
      </c>
      <c r="C665" s="1427">
        <f t="shared" si="140"/>
        <v>0</v>
      </c>
      <c r="D665" s="1464">
        <f t="shared" si="140"/>
        <v>0</v>
      </c>
      <c r="E665" s="1465">
        <f t="shared" si="140"/>
        <v>0</v>
      </c>
      <c r="F665" s="315">
        <f t="shared" si="135"/>
        <v>3.4999940000000002E-3</v>
      </c>
      <c r="G665" s="315">
        <f t="shared" si="136"/>
        <v>9.3499994000000003E-2</v>
      </c>
      <c r="H665" s="315">
        <f t="shared" si="137"/>
        <v>-0.09</v>
      </c>
      <c r="I665" s="1462">
        <v>0</v>
      </c>
      <c r="J665" s="1462">
        <v>0</v>
      </c>
      <c r="K665" s="315"/>
      <c r="L665" s="315"/>
      <c r="M665" s="315">
        <f t="shared" si="134"/>
        <v>0</v>
      </c>
      <c r="N665" s="315">
        <f t="shared" si="138"/>
        <v>-0.09</v>
      </c>
    </row>
    <row r="666" spans="1:14" ht="15.5" hidden="1" customHeight="1" outlineLevel="1" thickBot="1" x14ac:dyDescent="0.4">
      <c r="A666" s="1301">
        <f t="shared" si="140"/>
        <v>9</v>
      </c>
      <c r="B666" s="1319" t="str">
        <f t="shared" si="140"/>
        <v xml:space="preserve">Office Equipment </v>
      </c>
      <c r="C666" s="1427">
        <f t="shared" si="140"/>
        <v>0</v>
      </c>
      <c r="D666" s="1464">
        <f t="shared" si="140"/>
        <v>0</v>
      </c>
      <c r="E666" s="1465">
        <f t="shared" si="140"/>
        <v>0</v>
      </c>
      <c r="F666" s="315">
        <f t="shared" si="135"/>
        <v>0.258863014</v>
      </c>
      <c r="G666" s="315">
        <f t="shared" si="136"/>
        <v>0.258863014</v>
      </c>
      <c r="H666" s="315">
        <f t="shared" si="137"/>
        <v>0</v>
      </c>
      <c r="I666" s="1462">
        <v>0</v>
      </c>
      <c r="J666" s="1462">
        <v>0</v>
      </c>
      <c r="K666" s="315"/>
      <c r="L666" s="315"/>
      <c r="M666" s="315">
        <f t="shared" si="134"/>
        <v>0</v>
      </c>
      <c r="N666" s="315">
        <f t="shared" si="138"/>
        <v>0</v>
      </c>
    </row>
    <row r="667" spans="1:14" ht="15.5" hidden="1" customHeight="1" outlineLevel="1" thickBot="1" x14ac:dyDescent="0.4">
      <c r="A667" s="1301">
        <f t="shared" si="140"/>
        <v>10</v>
      </c>
      <c r="B667" s="1319" t="str">
        <f t="shared" si="140"/>
        <v>Furniture &amp; Fixture</v>
      </c>
      <c r="C667" s="1427">
        <f t="shared" si="140"/>
        <v>0</v>
      </c>
      <c r="D667" s="1464">
        <f t="shared" si="140"/>
        <v>0</v>
      </c>
      <c r="E667" s="1465">
        <f t="shared" si="140"/>
        <v>0</v>
      </c>
      <c r="F667" s="315">
        <f t="shared" si="135"/>
        <v>0.20719743600000001</v>
      </c>
      <c r="G667" s="315">
        <f t="shared" si="136"/>
        <v>0.20719743600000001</v>
      </c>
      <c r="H667" s="315">
        <f t="shared" si="137"/>
        <v>0</v>
      </c>
      <c r="I667" s="1462">
        <v>0</v>
      </c>
      <c r="J667" s="1462">
        <v>0</v>
      </c>
      <c r="K667" s="315"/>
      <c r="L667" s="315"/>
      <c r="M667" s="315">
        <f t="shared" si="134"/>
        <v>0</v>
      </c>
      <c r="N667" s="315">
        <f t="shared" si="138"/>
        <v>0</v>
      </c>
    </row>
    <row r="668" spans="1:14" s="1334" customFormat="1" ht="15.5" hidden="1" customHeight="1" outlineLevel="1" thickBot="1" x14ac:dyDescent="0.4">
      <c r="A668" s="1301">
        <f t="shared" si="140"/>
        <v>11</v>
      </c>
      <c r="B668" s="1319" t="str">
        <f t="shared" si="140"/>
        <v xml:space="preserve">Office Equipment </v>
      </c>
      <c r="C668" s="1427">
        <f t="shared" si="140"/>
        <v>0</v>
      </c>
      <c r="D668" s="1464">
        <f t="shared" si="140"/>
        <v>0</v>
      </c>
      <c r="E668" s="1465">
        <f t="shared" si="140"/>
        <v>0</v>
      </c>
      <c r="F668" s="315">
        <f t="shared" si="135"/>
        <v>6.3896999999999999E-3</v>
      </c>
      <c r="G668" s="315">
        <f t="shared" si="136"/>
        <v>6.3896999999999999E-3</v>
      </c>
      <c r="H668" s="315">
        <f t="shared" si="137"/>
        <v>0</v>
      </c>
      <c r="I668" s="1462">
        <v>0</v>
      </c>
      <c r="J668" s="1462">
        <v>0</v>
      </c>
      <c r="K668" s="315"/>
      <c r="L668" s="315"/>
      <c r="M668" s="315">
        <f t="shared" si="134"/>
        <v>0</v>
      </c>
      <c r="N668" s="315">
        <f t="shared" si="138"/>
        <v>0</v>
      </c>
    </row>
    <row r="669" spans="1:14" s="1334" customFormat="1" ht="16" hidden="1" outlineLevel="1" thickBot="1" x14ac:dyDescent="0.4">
      <c r="A669" s="1301">
        <f t="shared" si="140"/>
        <v>12</v>
      </c>
      <c r="B669" s="1319" t="str">
        <f t="shared" si="140"/>
        <v>Land</v>
      </c>
      <c r="C669" s="1427">
        <f t="shared" si="140"/>
        <v>0</v>
      </c>
      <c r="D669" s="1464">
        <f t="shared" si="140"/>
        <v>0</v>
      </c>
      <c r="E669" s="1465">
        <f t="shared" si="140"/>
        <v>0</v>
      </c>
      <c r="F669" s="315">
        <f t="shared" si="135"/>
        <v>0</v>
      </c>
      <c r="G669" s="315">
        <f t="shared" si="136"/>
        <v>0.19434199999999999</v>
      </c>
      <c r="H669" s="315">
        <f t="shared" si="137"/>
        <v>-0.19434199999999999</v>
      </c>
      <c r="I669" s="1462">
        <v>0</v>
      </c>
      <c r="J669" s="1462">
        <v>0</v>
      </c>
      <c r="K669" s="315"/>
      <c r="L669" s="315"/>
      <c r="M669" s="315">
        <f t="shared" si="134"/>
        <v>0</v>
      </c>
      <c r="N669" s="315">
        <f t="shared" si="138"/>
        <v>-0.19434199999999999</v>
      </c>
    </row>
    <row r="670" spans="1:14" ht="15.5" collapsed="1" thickBot="1" x14ac:dyDescent="0.3">
      <c r="A670" s="1330"/>
      <c r="B670" s="1331" t="str">
        <f>B575</f>
        <v>Total</v>
      </c>
      <c r="C670" s="1332"/>
      <c r="D670" s="1333"/>
      <c r="E670" s="1466"/>
      <c r="F670" s="1466">
        <f>SUM(F580:F669)</f>
        <v>460.3728350946418</v>
      </c>
      <c r="G670" s="1466">
        <f t="shared" ref="G670:N670" si="141">SUM(G580:G669)</f>
        <v>460.65717709464184</v>
      </c>
      <c r="H670" s="1466">
        <f t="shared" si="141"/>
        <v>-0.28434199999999998</v>
      </c>
      <c r="I670" s="1466">
        <f t="shared" si="141"/>
        <v>0</v>
      </c>
      <c r="J670" s="1466">
        <f t="shared" si="141"/>
        <v>0</v>
      </c>
      <c r="K670" s="1466">
        <f t="shared" si="141"/>
        <v>0</v>
      </c>
      <c r="L670" s="1466">
        <f t="shared" si="141"/>
        <v>0</v>
      </c>
      <c r="M670" s="1466">
        <f t="shared" si="141"/>
        <v>0</v>
      </c>
      <c r="N670" s="1466">
        <f t="shared" si="141"/>
        <v>-0.28434199999999998</v>
      </c>
    </row>
    <row r="672" spans="1:14" ht="14.5" thickBot="1" x14ac:dyDescent="0.3">
      <c r="A672" s="1445"/>
      <c r="B672" s="543" t="s">
        <v>1071</v>
      </c>
      <c r="C672" s="1446"/>
      <c r="D672" s="1447"/>
      <c r="E672" s="315"/>
      <c r="F672" s="315"/>
      <c r="G672" s="315"/>
      <c r="H672" s="315"/>
      <c r="I672" s="315"/>
      <c r="J672" s="315"/>
      <c r="K672" s="315"/>
      <c r="L672" s="315"/>
      <c r="M672" s="315"/>
      <c r="N672" s="315"/>
    </row>
    <row r="673" spans="1:16" ht="15" hidden="1" customHeight="1" outlineLevel="1" thickBot="1" x14ac:dyDescent="0.35">
      <c r="A673" s="1280"/>
      <c r="B673" s="1327" t="str">
        <f t="shared" ref="B673:E679" si="142">B578</f>
        <v>a) DPR Schemes</v>
      </c>
      <c r="C673" s="1446"/>
      <c r="D673" s="1447"/>
      <c r="E673" s="315"/>
      <c r="F673" s="315"/>
      <c r="G673" s="315"/>
      <c r="H673" s="315"/>
      <c r="I673" s="315"/>
      <c r="J673" s="315"/>
      <c r="K673" s="315"/>
      <c r="L673" s="315"/>
      <c r="M673" s="315"/>
      <c r="N673" s="315"/>
    </row>
    <row r="674" spans="1:16" ht="14" hidden="1" customHeight="1" outlineLevel="1" thickBot="1" x14ac:dyDescent="0.3">
      <c r="A674" s="1280"/>
      <c r="B674" s="1282" t="str">
        <f t="shared" si="142"/>
        <v>(i) In-principle approved by MERC</v>
      </c>
      <c r="C674" s="1449"/>
      <c r="D674" s="1450"/>
      <c r="E674" s="315"/>
      <c r="F674" s="315"/>
      <c r="G674" s="315"/>
      <c r="H674" s="315"/>
      <c r="I674" s="315"/>
      <c r="J674" s="315"/>
      <c r="K674" s="315"/>
      <c r="L674" s="315"/>
      <c r="M674" s="315"/>
      <c r="N674" s="315"/>
    </row>
    <row r="675" spans="1:16" ht="31" hidden="1" customHeight="1" outlineLevel="1" thickBot="1" x14ac:dyDescent="0.3">
      <c r="A675" s="1406">
        <f>A580</f>
        <v>1</v>
      </c>
      <c r="B675" s="1407" t="str">
        <f t="shared" si="142"/>
        <v>Replacement of economizer &amp; LTSH coils at Unit # 2</v>
      </c>
      <c r="C675" s="1406" t="str">
        <f t="shared" si="142"/>
        <v>MERC/CAPEX/20122013/00179</v>
      </c>
      <c r="D675" s="1451">
        <f t="shared" si="142"/>
        <v>41022</v>
      </c>
      <c r="E675" s="1452">
        <f t="shared" si="142"/>
        <v>10.177999999999999</v>
      </c>
      <c r="F675" s="1452">
        <f t="shared" ref="F675:F738" si="143">F580+I580</f>
        <v>0</v>
      </c>
      <c r="G675" s="1452">
        <f t="shared" ref="G675:G738" si="144">G580+M580</f>
        <v>0</v>
      </c>
      <c r="H675" s="1452">
        <f t="shared" ref="H675:H738" si="145">F675-G675</f>
        <v>0</v>
      </c>
      <c r="I675" s="1452">
        <v>0</v>
      </c>
      <c r="J675" s="1452">
        <v>0</v>
      </c>
      <c r="K675" s="1452"/>
      <c r="L675" s="1452"/>
      <c r="M675" s="1452">
        <f t="shared" ref="M675" si="146">SUM(J675:L675)</f>
        <v>0</v>
      </c>
      <c r="N675" s="1452">
        <f t="shared" ref="N675:N738" si="147">H675+I675-M675</f>
        <v>0</v>
      </c>
      <c r="O675" s="1453">
        <f t="shared" ref="O675:O736" si="148">MAX(0,IF(M675=0,0,IF(G675+M675&lt;E675,M675,E675-G675)))</f>
        <v>0</v>
      </c>
      <c r="P675" s="1328">
        <f t="shared" ref="P675:P736" si="149">M675-O675</f>
        <v>0</v>
      </c>
    </row>
    <row r="676" spans="1:16" ht="15.5" hidden="1" customHeight="1" outlineLevel="1" thickBot="1" x14ac:dyDescent="0.3">
      <c r="A676" s="1411">
        <f>A581</f>
        <v>1.1000000000000001</v>
      </c>
      <c r="B676" s="1412" t="str">
        <f t="shared" si="142"/>
        <v>Replacement of Economiser Coil</v>
      </c>
      <c r="C676" s="1411" t="str">
        <f t="shared" si="142"/>
        <v>MERC/CAPEX/20122013/00179</v>
      </c>
      <c r="D676" s="1454">
        <f t="shared" si="142"/>
        <v>41022</v>
      </c>
      <c r="E676" s="1414">
        <f t="shared" si="142"/>
        <v>3.524</v>
      </c>
      <c r="F676" s="1452">
        <f t="shared" si="143"/>
        <v>3.47</v>
      </c>
      <c r="G676" s="1452">
        <f t="shared" si="144"/>
        <v>3.47</v>
      </c>
      <c r="H676" s="1452">
        <f t="shared" si="145"/>
        <v>0</v>
      </c>
      <c r="I676" s="1452">
        <v>0</v>
      </c>
      <c r="J676" s="1452">
        <v>0</v>
      </c>
      <c r="K676" s="1414"/>
      <c r="L676" s="1414"/>
      <c r="M676" s="1414">
        <f t="shared" ref="M676:M736" si="150">SUM(J676:L676)</f>
        <v>0</v>
      </c>
      <c r="N676" s="1414">
        <f t="shared" si="147"/>
        <v>0</v>
      </c>
      <c r="O676" s="1453">
        <f t="shared" si="148"/>
        <v>0</v>
      </c>
      <c r="P676" s="1328">
        <f t="shared" si="149"/>
        <v>0</v>
      </c>
    </row>
    <row r="677" spans="1:16" ht="15.5" hidden="1" customHeight="1" outlineLevel="1" thickBot="1" x14ac:dyDescent="0.3">
      <c r="A677" s="1411"/>
      <c r="B677" s="1412" t="str">
        <f t="shared" si="142"/>
        <v>IDC</v>
      </c>
      <c r="C677" s="1411" t="str">
        <f t="shared" si="142"/>
        <v>MERC/CAPEX/20122013/00179</v>
      </c>
      <c r="D677" s="1454">
        <f t="shared" si="142"/>
        <v>41022</v>
      </c>
      <c r="E677" s="1414">
        <f t="shared" si="142"/>
        <v>0.20300000000000001</v>
      </c>
      <c r="F677" s="1452">
        <f t="shared" si="143"/>
        <v>0</v>
      </c>
      <c r="G677" s="1452">
        <f t="shared" si="144"/>
        <v>0</v>
      </c>
      <c r="H677" s="1452">
        <f t="shared" si="145"/>
        <v>0</v>
      </c>
      <c r="I677" s="1452">
        <v>0</v>
      </c>
      <c r="J677" s="1452">
        <v>0</v>
      </c>
      <c r="K677" s="1414"/>
      <c r="L677" s="1414"/>
      <c r="M677" s="1414">
        <f t="shared" si="150"/>
        <v>0</v>
      </c>
      <c r="N677" s="1414">
        <f t="shared" si="147"/>
        <v>0</v>
      </c>
      <c r="O677" s="1453">
        <f t="shared" si="148"/>
        <v>0</v>
      </c>
      <c r="P677" s="1328">
        <f t="shared" si="149"/>
        <v>0</v>
      </c>
    </row>
    <row r="678" spans="1:16" ht="15.5" hidden="1" customHeight="1" outlineLevel="1" thickBot="1" x14ac:dyDescent="0.3">
      <c r="A678" s="1411">
        <f>A583</f>
        <v>1.2</v>
      </c>
      <c r="B678" s="1412" t="str">
        <f t="shared" si="142"/>
        <v>Replacement of LTSH Coil</v>
      </c>
      <c r="C678" s="1411" t="str">
        <f t="shared" si="142"/>
        <v>MERC/CAPEX/20122013/00179</v>
      </c>
      <c r="D678" s="1454">
        <f t="shared" si="142"/>
        <v>41022</v>
      </c>
      <c r="E678" s="1414">
        <f t="shared" si="142"/>
        <v>6.0940000000000003</v>
      </c>
      <c r="F678" s="1452">
        <f t="shared" si="143"/>
        <v>5.32</v>
      </c>
      <c r="G678" s="1452">
        <f t="shared" si="144"/>
        <v>5.32</v>
      </c>
      <c r="H678" s="1452">
        <f t="shared" si="145"/>
        <v>0</v>
      </c>
      <c r="I678" s="1452">
        <v>0</v>
      </c>
      <c r="J678" s="1452">
        <v>0</v>
      </c>
      <c r="K678" s="1414"/>
      <c r="L678" s="1414"/>
      <c r="M678" s="1414">
        <f t="shared" si="150"/>
        <v>0</v>
      </c>
      <c r="N678" s="1414">
        <f t="shared" si="147"/>
        <v>0</v>
      </c>
      <c r="O678" s="1453">
        <f t="shared" si="148"/>
        <v>0</v>
      </c>
      <c r="P678" s="1328">
        <f t="shared" si="149"/>
        <v>0</v>
      </c>
    </row>
    <row r="679" spans="1:16" ht="15.5" hidden="1" customHeight="1" outlineLevel="1" thickBot="1" x14ac:dyDescent="0.3">
      <c r="A679" s="1411"/>
      <c r="B679" s="1412" t="str">
        <f t="shared" si="142"/>
        <v>IDC</v>
      </c>
      <c r="C679" s="1411" t="str">
        <f t="shared" si="142"/>
        <v>MERC/CAPEX/20122013/00179</v>
      </c>
      <c r="D679" s="1454">
        <f t="shared" si="142"/>
        <v>41022</v>
      </c>
      <c r="E679" s="1414">
        <f t="shared" si="142"/>
        <v>0.35699999999999998</v>
      </c>
      <c r="F679" s="1452">
        <f t="shared" si="143"/>
        <v>0</v>
      </c>
      <c r="G679" s="1452">
        <f t="shared" si="144"/>
        <v>0</v>
      </c>
      <c r="H679" s="1452">
        <f t="shared" si="145"/>
        <v>0</v>
      </c>
      <c r="I679" s="1452">
        <v>0</v>
      </c>
      <c r="J679" s="1452">
        <v>0</v>
      </c>
      <c r="K679" s="1414"/>
      <c r="L679" s="1414"/>
      <c r="M679" s="1414">
        <f t="shared" si="150"/>
        <v>0</v>
      </c>
      <c r="N679" s="1414">
        <f t="shared" si="147"/>
        <v>0</v>
      </c>
      <c r="O679" s="1453">
        <f t="shared" si="148"/>
        <v>0</v>
      </c>
      <c r="P679" s="1328">
        <f t="shared" si="149"/>
        <v>0</v>
      </c>
    </row>
    <row r="680" spans="1:16" ht="31" hidden="1" customHeight="1" outlineLevel="1" thickBot="1" x14ac:dyDescent="0.3">
      <c r="A680" s="1406">
        <f t="shared" ref="A680:E688" si="151">A585</f>
        <v>2</v>
      </c>
      <c r="B680" s="1407" t="str">
        <f t="shared" si="151"/>
        <v>Boiler and Turbine improvement
(Station Heat Rate Improvement)</v>
      </c>
      <c r="C680" s="1406" t="str">
        <f t="shared" si="151"/>
        <v>MERC/TECH 1/CAPEX/20122013/02325</v>
      </c>
      <c r="D680" s="1451">
        <f t="shared" si="151"/>
        <v>41285</v>
      </c>
      <c r="E680" s="1452">
        <f t="shared" si="151"/>
        <v>16.783805100000002</v>
      </c>
      <c r="F680" s="1452">
        <f t="shared" si="143"/>
        <v>0</v>
      </c>
      <c r="G680" s="1452">
        <f t="shared" si="144"/>
        <v>0</v>
      </c>
      <c r="H680" s="1452">
        <f t="shared" si="145"/>
        <v>0</v>
      </c>
      <c r="I680" s="1452">
        <v>0</v>
      </c>
      <c r="J680" s="1452">
        <v>0</v>
      </c>
      <c r="K680" s="1452"/>
      <c r="L680" s="1452"/>
      <c r="M680" s="1452">
        <f t="shared" si="150"/>
        <v>0</v>
      </c>
      <c r="N680" s="1452">
        <f t="shared" si="147"/>
        <v>0</v>
      </c>
      <c r="O680" s="1453">
        <f t="shared" si="148"/>
        <v>0</v>
      </c>
      <c r="P680" s="1328">
        <f t="shared" si="149"/>
        <v>0</v>
      </c>
    </row>
    <row r="681" spans="1:16" ht="31" hidden="1" customHeight="1" outlineLevel="1" thickBot="1" x14ac:dyDescent="0.3">
      <c r="A681" s="1411">
        <f t="shared" si="151"/>
        <v>2.1</v>
      </c>
      <c r="B681" s="1412" t="str">
        <f t="shared" si="151"/>
        <v>Vent condenser performance improvement by replacement of eroded tube nest by unit 3.</v>
      </c>
      <c r="C681" s="1411" t="str">
        <f t="shared" si="151"/>
        <v>MERC/TECH 1/CAPEX/20122013/02325</v>
      </c>
      <c r="D681" s="1454">
        <f t="shared" si="151"/>
        <v>41285</v>
      </c>
      <c r="E681" s="1414">
        <f t="shared" si="151"/>
        <v>0.28599999999999998</v>
      </c>
      <c r="F681" s="1452">
        <f t="shared" si="143"/>
        <v>0</v>
      </c>
      <c r="G681" s="1452">
        <f t="shared" si="144"/>
        <v>0</v>
      </c>
      <c r="H681" s="1452">
        <f t="shared" si="145"/>
        <v>0</v>
      </c>
      <c r="I681" s="1452">
        <v>0</v>
      </c>
      <c r="J681" s="1452">
        <v>0</v>
      </c>
      <c r="K681" s="1414"/>
      <c r="L681" s="1414"/>
      <c r="M681" s="1414">
        <f t="shared" si="150"/>
        <v>0</v>
      </c>
      <c r="N681" s="1414">
        <f t="shared" si="147"/>
        <v>0</v>
      </c>
      <c r="O681" s="1453">
        <f t="shared" si="148"/>
        <v>0</v>
      </c>
      <c r="P681" s="1328">
        <f t="shared" si="149"/>
        <v>0</v>
      </c>
    </row>
    <row r="682" spans="1:16" ht="31" hidden="1" customHeight="1" outlineLevel="1" thickBot="1" x14ac:dyDescent="0.3">
      <c r="A682" s="1411">
        <f t="shared" si="151"/>
        <v>2.2000000000000002</v>
      </c>
      <c r="B682" s="1412" t="str">
        <f t="shared" si="151"/>
        <v>Replacement of major extraction valves &amp;NRVs of unit 3</v>
      </c>
      <c r="C682" s="1411" t="str">
        <f t="shared" si="151"/>
        <v>MERC/TECH 1/CAPEX/20122013/02325</v>
      </c>
      <c r="D682" s="1454">
        <f t="shared" si="151"/>
        <v>41285</v>
      </c>
      <c r="E682" s="1414">
        <f t="shared" si="151"/>
        <v>0.51900000000000002</v>
      </c>
      <c r="F682" s="1452">
        <f t="shared" si="143"/>
        <v>0</v>
      </c>
      <c r="G682" s="1452">
        <f t="shared" si="144"/>
        <v>0</v>
      </c>
      <c r="H682" s="1452">
        <f t="shared" si="145"/>
        <v>0</v>
      </c>
      <c r="I682" s="1452">
        <v>0</v>
      </c>
      <c r="J682" s="1452">
        <v>0</v>
      </c>
      <c r="K682" s="1414"/>
      <c r="L682" s="1414"/>
      <c r="M682" s="1414">
        <f t="shared" si="150"/>
        <v>0</v>
      </c>
      <c r="N682" s="1414">
        <f t="shared" si="147"/>
        <v>0</v>
      </c>
      <c r="O682" s="1453">
        <f t="shared" si="148"/>
        <v>0</v>
      </c>
      <c r="P682" s="1328">
        <f t="shared" si="149"/>
        <v>0</v>
      </c>
    </row>
    <row r="683" spans="1:16" ht="31" hidden="1" customHeight="1" outlineLevel="1" thickBot="1" x14ac:dyDescent="0.3">
      <c r="A683" s="1411">
        <f t="shared" si="151"/>
        <v>2.2999999999999998</v>
      </c>
      <c r="B683" s="1412" t="str">
        <f t="shared" si="151"/>
        <v>60% replacement of boiler skin insulation (Unit 2)</v>
      </c>
      <c r="C683" s="1411" t="str">
        <f t="shared" si="151"/>
        <v>MERC/TECH 1/CAPEX/20122013/02325</v>
      </c>
      <c r="D683" s="1454">
        <f t="shared" si="151"/>
        <v>41285</v>
      </c>
      <c r="E683" s="1414">
        <f t="shared" si="151"/>
        <v>0.29299999999999998</v>
      </c>
      <c r="F683" s="1452">
        <f t="shared" si="143"/>
        <v>0</v>
      </c>
      <c r="G683" s="1452">
        <f t="shared" si="144"/>
        <v>0</v>
      </c>
      <c r="H683" s="1452">
        <f t="shared" si="145"/>
        <v>0</v>
      </c>
      <c r="I683" s="1452">
        <v>0</v>
      </c>
      <c r="J683" s="1452">
        <v>0</v>
      </c>
      <c r="K683" s="1414"/>
      <c r="L683" s="1414"/>
      <c r="M683" s="1414">
        <f t="shared" si="150"/>
        <v>0</v>
      </c>
      <c r="N683" s="1414">
        <f t="shared" si="147"/>
        <v>0</v>
      </c>
      <c r="O683" s="1453">
        <f t="shared" si="148"/>
        <v>0</v>
      </c>
      <c r="P683" s="1328">
        <f t="shared" si="149"/>
        <v>0</v>
      </c>
    </row>
    <row r="684" spans="1:16" ht="31" hidden="1" customHeight="1" outlineLevel="1" thickBot="1" x14ac:dyDescent="0.3">
      <c r="A684" s="1411">
        <f t="shared" si="151"/>
        <v>2.4</v>
      </c>
      <c r="B684" s="1412" t="str">
        <f t="shared" si="151"/>
        <v>Replacement of DM make up ( unit 3) and GSH water pump.( units 2 &amp;3)</v>
      </c>
      <c r="C684" s="1411" t="str">
        <f t="shared" si="151"/>
        <v>MERC/TECH 1/CAPEX/20122013/02325</v>
      </c>
      <c r="D684" s="1454">
        <f t="shared" si="151"/>
        <v>41285</v>
      </c>
      <c r="E684" s="1414">
        <f t="shared" si="151"/>
        <v>0.20599999999999999</v>
      </c>
      <c r="F684" s="1452">
        <f t="shared" si="143"/>
        <v>0.26354099999999997</v>
      </c>
      <c r="G684" s="1452">
        <f t="shared" si="144"/>
        <v>0.26354099999999997</v>
      </c>
      <c r="H684" s="1452">
        <f t="shared" si="145"/>
        <v>0</v>
      </c>
      <c r="I684" s="1452">
        <v>0</v>
      </c>
      <c r="J684" s="1452">
        <v>0</v>
      </c>
      <c r="K684" s="1414"/>
      <c r="L684" s="1414"/>
      <c r="M684" s="1414">
        <f t="shared" si="150"/>
        <v>0</v>
      </c>
      <c r="N684" s="1414">
        <f t="shared" si="147"/>
        <v>0</v>
      </c>
      <c r="O684" s="1453">
        <f t="shared" si="148"/>
        <v>0</v>
      </c>
      <c r="P684" s="1328">
        <f t="shared" si="149"/>
        <v>0</v>
      </c>
    </row>
    <row r="685" spans="1:16" ht="31" hidden="1" customHeight="1" outlineLevel="1" thickBot="1" x14ac:dyDescent="0.3">
      <c r="A685" s="1411">
        <f t="shared" si="151"/>
        <v>2.5</v>
      </c>
      <c r="B685" s="1412" t="str">
        <f t="shared" si="151"/>
        <v>Replacement of LTSH coils (unit 3)</v>
      </c>
      <c r="C685" s="1411" t="str">
        <f t="shared" si="151"/>
        <v>MERC/TECH 1/CAPEX/20122013/02325</v>
      </c>
      <c r="D685" s="1454">
        <f t="shared" si="151"/>
        <v>41285</v>
      </c>
      <c r="E685" s="1414">
        <f t="shared" si="151"/>
        <v>8.3689999999999998</v>
      </c>
      <c r="F685" s="1452">
        <f t="shared" si="143"/>
        <v>5.319992955</v>
      </c>
      <c r="G685" s="1452">
        <f t="shared" si="144"/>
        <v>5.319992955</v>
      </c>
      <c r="H685" s="1452">
        <f t="shared" si="145"/>
        <v>0</v>
      </c>
      <c r="I685" s="1452">
        <v>0</v>
      </c>
      <c r="J685" s="1452">
        <v>0</v>
      </c>
      <c r="K685" s="1414"/>
      <c r="L685" s="1414"/>
      <c r="M685" s="1414">
        <f t="shared" si="150"/>
        <v>0</v>
      </c>
      <c r="N685" s="1414">
        <f t="shared" si="147"/>
        <v>0</v>
      </c>
      <c r="O685" s="1453">
        <f t="shared" si="148"/>
        <v>0</v>
      </c>
      <c r="P685" s="1328">
        <f t="shared" si="149"/>
        <v>0</v>
      </c>
    </row>
    <row r="686" spans="1:16" ht="31" hidden="1" customHeight="1" outlineLevel="1" thickBot="1" x14ac:dyDescent="0.3">
      <c r="A686" s="1411">
        <f t="shared" si="151"/>
        <v>2.6</v>
      </c>
      <c r="B686" s="1412" t="str">
        <f t="shared" si="151"/>
        <v>Replacement of ECO coils (unit 3)</v>
      </c>
      <c r="C686" s="1411" t="str">
        <f t="shared" si="151"/>
        <v>MERC/TECH 1/CAPEX/20122013/02325</v>
      </c>
      <c r="D686" s="1454">
        <f t="shared" si="151"/>
        <v>41285</v>
      </c>
      <c r="E686" s="1414">
        <f t="shared" si="151"/>
        <v>6.032</v>
      </c>
      <c r="F686" s="1452">
        <f t="shared" si="143"/>
        <v>3.47281854</v>
      </c>
      <c r="G686" s="1452">
        <f t="shared" si="144"/>
        <v>3.47281854</v>
      </c>
      <c r="H686" s="1452">
        <f t="shared" si="145"/>
        <v>0</v>
      </c>
      <c r="I686" s="1452">
        <v>0</v>
      </c>
      <c r="J686" s="1452">
        <v>0</v>
      </c>
      <c r="K686" s="1414"/>
      <c r="L686" s="1414"/>
      <c r="M686" s="1414">
        <f t="shared" si="150"/>
        <v>0</v>
      </c>
      <c r="N686" s="1414">
        <f t="shared" si="147"/>
        <v>0</v>
      </c>
      <c r="O686" s="1453">
        <f t="shared" si="148"/>
        <v>0</v>
      </c>
      <c r="P686" s="1328">
        <f t="shared" si="149"/>
        <v>0</v>
      </c>
    </row>
    <row r="687" spans="1:16" ht="31" hidden="1" customHeight="1" outlineLevel="1" thickBot="1" x14ac:dyDescent="0.3">
      <c r="A687" s="1411">
        <f t="shared" si="151"/>
        <v>2.7</v>
      </c>
      <c r="B687" s="1412" t="str">
        <f t="shared" si="151"/>
        <v>Replacement of old LT AHP pump impeller by energy efficient stainless steel impeller</v>
      </c>
      <c r="C687" s="1411" t="str">
        <f t="shared" si="151"/>
        <v>MERC/TECH 1/CAPEX/20122013/02325</v>
      </c>
      <c r="D687" s="1454">
        <f t="shared" si="151"/>
        <v>41285</v>
      </c>
      <c r="E687" s="1414">
        <f t="shared" si="151"/>
        <v>0.1488051</v>
      </c>
      <c r="F687" s="1452">
        <f t="shared" si="143"/>
        <v>0.1488051</v>
      </c>
      <c r="G687" s="1452">
        <f t="shared" si="144"/>
        <v>0.1488051</v>
      </c>
      <c r="H687" s="1452">
        <f t="shared" si="145"/>
        <v>0</v>
      </c>
      <c r="I687" s="1452">
        <v>0</v>
      </c>
      <c r="J687" s="1452">
        <v>0</v>
      </c>
      <c r="K687" s="1414"/>
      <c r="L687" s="1414"/>
      <c r="M687" s="1414">
        <f t="shared" si="150"/>
        <v>0</v>
      </c>
      <c r="N687" s="1414">
        <f t="shared" si="147"/>
        <v>0</v>
      </c>
      <c r="O687" s="1453">
        <f t="shared" si="148"/>
        <v>0</v>
      </c>
      <c r="P687" s="1328">
        <f t="shared" si="149"/>
        <v>0</v>
      </c>
    </row>
    <row r="688" spans="1:16" ht="31" hidden="1" customHeight="1" outlineLevel="1" thickBot="1" x14ac:dyDescent="0.3">
      <c r="A688" s="1416"/>
      <c r="B688" s="1412" t="str">
        <f t="shared" si="151"/>
        <v>IDC</v>
      </c>
      <c r="C688" s="1411" t="str">
        <f t="shared" si="151"/>
        <v>MERC/TECH 1/CAPEX/20122013/02325</v>
      </c>
      <c r="D688" s="1454">
        <f t="shared" si="151"/>
        <v>41285</v>
      </c>
      <c r="E688" s="1455">
        <f t="shared" si="151"/>
        <v>0.93</v>
      </c>
      <c r="F688" s="1452">
        <f t="shared" si="143"/>
        <v>0</v>
      </c>
      <c r="G688" s="1452">
        <f t="shared" si="144"/>
        <v>0</v>
      </c>
      <c r="H688" s="1452">
        <f t="shared" si="145"/>
        <v>0</v>
      </c>
      <c r="I688" s="1452">
        <v>0</v>
      </c>
      <c r="J688" s="1452">
        <v>0</v>
      </c>
      <c r="K688" s="1455"/>
      <c r="L688" s="1455"/>
      <c r="M688" s="1455">
        <f t="shared" si="150"/>
        <v>0</v>
      </c>
      <c r="N688" s="1455">
        <f t="shared" si="147"/>
        <v>0</v>
      </c>
      <c r="O688" s="1453">
        <f t="shared" si="148"/>
        <v>0</v>
      </c>
      <c r="P688" s="1328">
        <f t="shared" si="149"/>
        <v>0</v>
      </c>
    </row>
    <row r="689" spans="1:16" ht="31" hidden="1" customHeight="1" outlineLevel="1" thickBot="1" x14ac:dyDescent="0.3">
      <c r="A689" s="1406">
        <f t="shared" ref="A689:E704" si="152">A594</f>
        <v>3</v>
      </c>
      <c r="B689" s="1407" t="str">
        <f t="shared" si="152"/>
        <v>Measuring and Monitoring of Coal consumption</v>
      </c>
      <c r="C689" s="1406" t="str">
        <f t="shared" si="152"/>
        <v>MERC/CAPEX/20122013/00912</v>
      </c>
      <c r="D689" s="1451">
        <f t="shared" si="152"/>
        <v>41114</v>
      </c>
      <c r="E689" s="1452">
        <f t="shared" si="152"/>
        <v>45.918030000000002</v>
      </c>
      <c r="F689" s="1452">
        <f t="shared" si="143"/>
        <v>0</v>
      </c>
      <c r="G689" s="1452">
        <f t="shared" si="144"/>
        <v>0</v>
      </c>
      <c r="H689" s="1452">
        <f t="shared" si="145"/>
        <v>0</v>
      </c>
      <c r="I689" s="1452">
        <v>0</v>
      </c>
      <c r="J689" s="1452">
        <v>0</v>
      </c>
      <c r="K689" s="1452"/>
      <c r="L689" s="1452"/>
      <c r="M689" s="1452">
        <f t="shared" si="150"/>
        <v>0</v>
      </c>
      <c r="N689" s="1452">
        <f t="shared" si="147"/>
        <v>0</v>
      </c>
      <c r="O689" s="1453">
        <f t="shared" si="148"/>
        <v>0</v>
      </c>
      <c r="P689" s="1328">
        <f t="shared" si="149"/>
        <v>0</v>
      </c>
    </row>
    <row r="690" spans="1:16" ht="15.5" hidden="1" customHeight="1" outlineLevel="1" thickBot="1" x14ac:dyDescent="0.3">
      <c r="A690" s="1416">
        <f t="shared" si="152"/>
        <v>3.1</v>
      </c>
      <c r="B690" s="1412" t="str">
        <f t="shared" si="152"/>
        <v>Belt Weighers</v>
      </c>
      <c r="C690" s="1416" t="str">
        <f t="shared" si="152"/>
        <v>MERC/CAPEX/20122013/00912</v>
      </c>
      <c r="D690" s="1456">
        <f t="shared" si="152"/>
        <v>41114</v>
      </c>
      <c r="E690" s="1414">
        <f t="shared" si="152"/>
        <v>0.8044</v>
      </c>
      <c r="F690" s="1452">
        <f t="shared" si="143"/>
        <v>0</v>
      </c>
      <c r="G690" s="1452">
        <f t="shared" si="144"/>
        <v>0</v>
      </c>
      <c r="H690" s="1452">
        <f t="shared" si="145"/>
        <v>0</v>
      </c>
      <c r="I690" s="1452">
        <v>0</v>
      </c>
      <c r="J690" s="1452">
        <v>0</v>
      </c>
      <c r="K690" s="1414"/>
      <c r="L690" s="1414"/>
      <c r="M690" s="1414">
        <f t="shared" si="150"/>
        <v>0</v>
      </c>
      <c r="N690" s="1414">
        <f t="shared" si="147"/>
        <v>0</v>
      </c>
      <c r="O690" s="1453">
        <f t="shared" si="148"/>
        <v>0</v>
      </c>
      <c r="P690" s="1328">
        <f t="shared" si="149"/>
        <v>0</v>
      </c>
    </row>
    <row r="691" spans="1:16" ht="15.5" hidden="1" customHeight="1" outlineLevel="1" thickBot="1" x14ac:dyDescent="0.3">
      <c r="A691" s="1416">
        <f t="shared" si="152"/>
        <v>3.2</v>
      </c>
      <c r="B691" s="1412" t="str">
        <f t="shared" si="152"/>
        <v xml:space="preserve">Fully automatic pit-less in motion weigh bridges </v>
      </c>
      <c r="C691" s="1416" t="str">
        <f t="shared" si="152"/>
        <v>MERC/CAPEX/20122013/00912</v>
      </c>
      <c r="D691" s="1456">
        <f t="shared" si="152"/>
        <v>41114</v>
      </c>
      <c r="E691" s="1414">
        <f t="shared" si="152"/>
        <v>0.41149999999999998</v>
      </c>
      <c r="F691" s="1452">
        <f t="shared" si="143"/>
        <v>0</v>
      </c>
      <c r="G691" s="1452">
        <f t="shared" si="144"/>
        <v>0</v>
      </c>
      <c r="H691" s="1452">
        <f t="shared" si="145"/>
        <v>0</v>
      </c>
      <c r="I691" s="1452">
        <v>0</v>
      </c>
      <c r="J691" s="1452">
        <v>0</v>
      </c>
      <c r="K691" s="1414"/>
      <c r="L691" s="1414"/>
      <c r="M691" s="1414">
        <f t="shared" si="150"/>
        <v>0</v>
      </c>
      <c r="N691" s="1414">
        <f t="shared" si="147"/>
        <v>0</v>
      </c>
      <c r="O691" s="1453">
        <f t="shared" si="148"/>
        <v>0</v>
      </c>
      <c r="P691" s="1328">
        <f t="shared" si="149"/>
        <v>0</v>
      </c>
    </row>
    <row r="692" spans="1:16" ht="15.5" hidden="1" customHeight="1" outlineLevel="1" thickBot="1" x14ac:dyDescent="0.3">
      <c r="A692" s="1416">
        <f t="shared" si="152"/>
        <v>3.3</v>
      </c>
      <c r="B692" s="1412" t="str">
        <f t="shared" si="152"/>
        <v>Installation side arm charger for Wagon tippler 1A &amp; 1B</v>
      </c>
      <c r="C692" s="1416" t="str">
        <f t="shared" si="152"/>
        <v>MERC/CAPEX/20122013/00912</v>
      </c>
      <c r="D692" s="1456">
        <f t="shared" si="152"/>
        <v>41114</v>
      </c>
      <c r="E692" s="1414">
        <f t="shared" si="152"/>
        <v>21.96</v>
      </c>
      <c r="F692" s="1452">
        <f t="shared" si="143"/>
        <v>0</v>
      </c>
      <c r="G692" s="1452">
        <f t="shared" si="144"/>
        <v>0</v>
      </c>
      <c r="H692" s="1452">
        <f t="shared" si="145"/>
        <v>0</v>
      </c>
      <c r="I692" s="1452">
        <v>0</v>
      </c>
      <c r="J692" s="1452">
        <v>0</v>
      </c>
      <c r="K692" s="1414"/>
      <c r="L692" s="1414"/>
      <c r="M692" s="1414">
        <f t="shared" si="150"/>
        <v>0</v>
      </c>
      <c r="N692" s="1414">
        <f t="shared" si="147"/>
        <v>0</v>
      </c>
      <c r="O692" s="1453">
        <f t="shared" si="148"/>
        <v>0</v>
      </c>
      <c r="P692" s="1328">
        <f t="shared" si="149"/>
        <v>0</v>
      </c>
    </row>
    <row r="693" spans="1:16" ht="31" hidden="1" customHeight="1" outlineLevel="1" thickBot="1" x14ac:dyDescent="0.3">
      <c r="A693" s="1416">
        <f t="shared" si="152"/>
        <v>3.4</v>
      </c>
      <c r="B693" s="1412" t="str">
        <f t="shared" si="152"/>
        <v>Dust Extraction System at Secondary Crusher house &amp; Conveyor 6A/B at stage II CHP</v>
      </c>
      <c r="C693" s="1416" t="str">
        <f t="shared" si="152"/>
        <v>MERC/CAPEX/20122013/00912</v>
      </c>
      <c r="D693" s="1456">
        <f t="shared" si="152"/>
        <v>41114</v>
      </c>
      <c r="E693" s="1414">
        <f t="shared" si="152"/>
        <v>2.0714999999999999</v>
      </c>
      <c r="F693" s="1452">
        <f t="shared" si="143"/>
        <v>0</v>
      </c>
      <c r="G693" s="1452">
        <f t="shared" si="144"/>
        <v>0</v>
      </c>
      <c r="H693" s="1452">
        <f t="shared" si="145"/>
        <v>0</v>
      </c>
      <c r="I693" s="1452">
        <v>0</v>
      </c>
      <c r="J693" s="1452">
        <v>0</v>
      </c>
      <c r="K693" s="1414"/>
      <c r="L693" s="1414"/>
      <c r="M693" s="1414">
        <f t="shared" si="150"/>
        <v>0</v>
      </c>
      <c r="N693" s="1414">
        <f t="shared" si="147"/>
        <v>0</v>
      </c>
      <c r="O693" s="1453">
        <f t="shared" si="148"/>
        <v>0</v>
      </c>
      <c r="P693" s="1328">
        <f t="shared" si="149"/>
        <v>0</v>
      </c>
    </row>
    <row r="694" spans="1:16" ht="93" hidden="1" customHeight="1" outlineLevel="1" thickBot="1" x14ac:dyDescent="0.3">
      <c r="A694" s="1416">
        <f t="shared" si="152"/>
        <v>3.5</v>
      </c>
      <c r="B694" s="1412" t="str">
        <f t="shared" si="152"/>
        <v>Fogging system at 
a) WT old along with PCR, SCR and bunker level belt at Stage I CHP
b) Conveyor 7A/B
c) 100 Mtrx100 Mtr Coal stock area
d) 200 Mtrx200 Mtr Coal stock area</v>
      </c>
      <c r="C694" s="1416" t="str">
        <f t="shared" si="152"/>
        <v>MERC/CAPEX/20122013/00912</v>
      </c>
      <c r="D694" s="1456">
        <f t="shared" si="152"/>
        <v>41114</v>
      </c>
      <c r="E694" s="1414">
        <f t="shared" si="152"/>
        <v>2.2831000000000001</v>
      </c>
      <c r="F694" s="1452">
        <f t="shared" si="143"/>
        <v>0.4695358</v>
      </c>
      <c r="G694" s="1452">
        <f t="shared" si="144"/>
        <v>0.4695358</v>
      </c>
      <c r="H694" s="1452">
        <f t="shared" si="145"/>
        <v>0</v>
      </c>
      <c r="I694" s="1452">
        <v>0</v>
      </c>
      <c r="J694" s="1452">
        <v>0</v>
      </c>
      <c r="K694" s="1414"/>
      <c r="L694" s="1414"/>
      <c r="M694" s="1414">
        <f t="shared" si="150"/>
        <v>0</v>
      </c>
      <c r="N694" s="1414">
        <f t="shared" si="147"/>
        <v>0</v>
      </c>
      <c r="O694" s="1453">
        <f t="shared" si="148"/>
        <v>0</v>
      </c>
      <c r="P694" s="1328">
        <f t="shared" si="149"/>
        <v>0</v>
      </c>
    </row>
    <row r="695" spans="1:16" ht="15.5" hidden="1" customHeight="1" outlineLevel="1" thickBot="1" x14ac:dyDescent="0.3">
      <c r="A695" s="1416">
        <f t="shared" si="152"/>
        <v>3.6</v>
      </c>
      <c r="B695" s="1412" t="str">
        <f t="shared" si="152"/>
        <v xml:space="preserve">Bunker level montoring system for 12 bunkers </v>
      </c>
      <c r="C695" s="1416" t="str">
        <f t="shared" si="152"/>
        <v>MERC/CAPEX/20122013/00912</v>
      </c>
      <c r="D695" s="1456">
        <f t="shared" si="152"/>
        <v>41114</v>
      </c>
      <c r="E695" s="1414">
        <f t="shared" si="152"/>
        <v>2.5038</v>
      </c>
      <c r="F695" s="1452">
        <f t="shared" si="143"/>
        <v>0</v>
      </c>
      <c r="G695" s="1452">
        <f t="shared" si="144"/>
        <v>0</v>
      </c>
      <c r="H695" s="1452">
        <f t="shared" si="145"/>
        <v>0</v>
      </c>
      <c r="I695" s="1452">
        <v>0</v>
      </c>
      <c r="J695" s="1452">
        <v>0</v>
      </c>
      <c r="K695" s="1414"/>
      <c r="L695" s="1414"/>
      <c r="M695" s="1414">
        <f t="shared" si="150"/>
        <v>0</v>
      </c>
      <c r="N695" s="1414">
        <f t="shared" si="147"/>
        <v>0</v>
      </c>
      <c r="O695" s="1453">
        <f t="shared" si="148"/>
        <v>0</v>
      </c>
      <c r="P695" s="1328">
        <f t="shared" si="149"/>
        <v>0</v>
      </c>
    </row>
    <row r="696" spans="1:16" ht="15.5" hidden="1" customHeight="1" outlineLevel="1" thickBot="1" x14ac:dyDescent="0.3">
      <c r="A696" s="1416">
        <f t="shared" si="152"/>
        <v>3.7</v>
      </c>
      <c r="B696" s="1412" t="str">
        <f t="shared" si="152"/>
        <v xml:space="preserve">Rotary pneumatic or electrical hammers </v>
      </c>
      <c r="C696" s="1416" t="str">
        <f t="shared" si="152"/>
        <v>MERC/CAPEX/20122013/00912</v>
      </c>
      <c r="D696" s="1456">
        <f t="shared" si="152"/>
        <v>41114</v>
      </c>
      <c r="E696" s="1414">
        <f t="shared" si="152"/>
        <v>9.7000000000000003E-2</v>
      </c>
      <c r="F696" s="1452">
        <f t="shared" si="143"/>
        <v>0</v>
      </c>
      <c r="G696" s="1452">
        <f t="shared" si="144"/>
        <v>0</v>
      </c>
      <c r="H696" s="1452">
        <f t="shared" si="145"/>
        <v>0</v>
      </c>
      <c r="I696" s="1452">
        <v>0</v>
      </c>
      <c r="J696" s="1452">
        <v>0</v>
      </c>
      <c r="K696" s="1414"/>
      <c r="L696" s="1414"/>
      <c r="M696" s="1414">
        <f t="shared" si="150"/>
        <v>0</v>
      </c>
      <c r="N696" s="1414">
        <f t="shared" si="147"/>
        <v>0</v>
      </c>
      <c r="O696" s="1453">
        <f t="shared" si="148"/>
        <v>0</v>
      </c>
      <c r="P696" s="1328">
        <f t="shared" si="149"/>
        <v>0</v>
      </c>
    </row>
    <row r="697" spans="1:16" ht="31" hidden="1" customHeight="1" outlineLevel="1" thickBot="1" x14ac:dyDescent="0.3">
      <c r="A697" s="1416">
        <f t="shared" si="152"/>
        <v>3.8</v>
      </c>
      <c r="B697" s="1412" t="str">
        <f t="shared" si="152"/>
        <v xml:space="preserve">Enhancement of unloading capacity of CHP from 360 TPH to 500 TPH </v>
      </c>
      <c r="C697" s="1416" t="str">
        <f t="shared" si="152"/>
        <v>MERC/CAPEX/20122013/00912</v>
      </c>
      <c r="D697" s="1456">
        <f t="shared" si="152"/>
        <v>41114</v>
      </c>
      <c r="E697" s="1414">
        <f t="shared" si="152"/>
        <v>7.6508000000000003</v>
      </c>
      <c r="F697" s="1452">
        <f t="shared" si="143"/>
        <v>0</v>
      </c>
      <c r="G697" s="1452">
        <f t="shared" si="144"/>
        <v>0</v>
      </c>
      <c r="H697" s="1452">
        <f t="shared" si="145"/>
        <v>0</v>
      </c>
      <c r="I697" s="1452">
        <v>0</v>
      </c>
      <c r="J697" s="1452">
        <v>0</v>
      </c>
      <c r="K697" s="1414"/>
      <c r="L697" s="1414"/>
      <c r="M697" s="1414">
        <f t="shared" si="150"/>
        <v>0</v>
      </c>
      <c r="N697" s="1414">
        <f t="shared" si="147"/>
        <v>0</v>
      </c>
      <c r="O697" s="1453">
        <f t="shared" si="148"/>
        <v>0</v>
      </c>
      <c r="P697" s="1328">
        <f t="shared" si="149"/>
        <v>0</v>
      </c>
    </row>
    <row r="698" spans="1:16" ht="77.5" hidden="1" customHeight="1" outlineLevel="1" thickBot="1" x14ac:dyDescent="0.3">
      <c r="A698" s="1416">
        <f t="shared" si="152"/>
        <v>3.9</v>
      </c>
      <c r="B698" s="1412" t="str">
        <f t="shared" si="152"/>
        <v>Quick detection of poor coal quality through CCTV on overhead watch
tower focused onto the wagons, over which the rake passes at low
speed &amp; various conveyor tunnels</v>
      </c>
      <c r="C698" s="1416" t="str">
        <f t="shared" si="152"/>
        <v>MERC/CAPEX/20122013/00912</v>
      </c>
      <c r="D698" s="1456">
        <f t="shared" si="152"/>
        <v>41114</v>
      </c>
      <c r="E698" s="1414">
        <f t="shared" si="152"/>
        <v>0.29680000000000001</v>
      </c>
      <c r="F698" s="1452">
        <f t="shared" si="143"/>
        <v>0</v>
      </c>
      <c r="G698" s="1452">
        <f t="shared" si="144"/>
        <v>0</v>
      </c>
      <c r="H698" s="1452">
        <f t="shared" si="145"/>
        <v>0</v>
      </c>
      <c r="I698" s="1452">
        <v>0</v>
      </c>
      <c r="J698" s="1452">
        <v>0</v>
      </c>
      <c r="K698" s="1414"/>
      <c r="L698" s="1414"/>
      <c r="M698" s="1414">
        <f t="shared" si="150"/>
        <v>0</v>
      </c>
      <c r="N698" s="1414">
        <f t="shared" si="147"/>
        <v>0</v>
      </c>
      <c r="O698" s="1453">
        <f t="shared" si="148"/>
        <v>0</v>
      </c>
      <c r="P698" s="1328">
        <f t="shared" si="149"/>
        <v>0</v>
      </c>
    </row>
    <row r="699" spans="1:16" ht="15.5" hidden="1" customHeight="1" outlineLevel="1" thickBot="1" x14ac:dyDescent="0.3">
      <c r="A699" s="1418">
        <f t="shared" si="152"/>
        <v>3.1</v>
      </c>
      <c r="B699" s="1412" t="str">
        <f t="shared" si="152"/>
        <v xml:space="preserve">Motor controller for conveyor motors of Stage II CHP </v>
      </c>
      <c r="C699" s="1416" t="str">
        <f t="shared" si="152"/>
        <v>MERC/CAPEX/20122013/00912</v>
      </c>
      <c r="D699" s="1456">
        <f t="shared" si="152"/>
        <v>41114</v>
      </c>
      <c r="E699" s="1414">
        <f t="shared" si="152"/>
        <v>0.9607</v>
      </c>
      <c r="F699" s="1452">
        <f t="shared" si="143"/>
        <v>0.9607</v>
      </c>
      <c r="G699" s="1452">
        <f t="shared" si="144"/>
        <v>0.9607</v>
      </c>
      <c r="H699" s="1452">
        <f t="shared" si="145"/>
        <v>0</v>
      </c>
      <c r="I699" s="1452">
        <v>0</v>
      </c>
      <c r="J699" s="1452">
        <v>0</v>
      </c>
      <c r="K699" s="1414"/>
      <c r="L699" s="1414"/>
      <c r="M699" s="1414">
        <f t="shared" si="150"/>
        <v>0</v>
      </c>
      <c r="N699" s="1414">
        <f t="shared" si="147"/>
        <v>0</v>
      </c>
      <c r="O699" s="1453">
        <f t="shared" si="148"/>
        <v>0</v>
      </c>
      <c r="P699" s="1328">
        <f t="shared" si="149"/>
        <v>0</v>
      </c>
    </row>
    <row r="700" spans="1:16" ht="31" hidden="1" customHeight="1" outlineLevel="1" thickBot="1" x14ac:dyDescent="0.3">
      <c r="A700" s="1416">
        <f t="shared" si="152"/>
        <v>3.11</v>
      </c>
      <c r="B700" s="1412" t="str">
        <f t="shared" si="152"/>
        <v>Procurement of a CHN apparatus for ultimate analysis for operational optimization and coal mapping studies.</v>
      </c>
      <c r="C700" s="1416" t="str">
        <f t="shared" si="152"/>
        <v>MERC/CAPEX/20122013/00912</v>
      </c>
      <c r="D700" s="1456">
        <f t="shared" si="152"/>
        <v>41114</v>
      </c>
      <c r="E700" s="1414">
        <f t="shared" si="152"/>
        <v>0.63617000000000001</v>
      </c>
      <c r="F700" s="1452">
        <f t="shared" si="143"/>
        <v>0</v>
      </c>
      <c r="G700" s="1452">
        <f t="shared" si="144"/>
        <v>0</v>
      </c>
      <c r="H700" s="1452">
        <f t="shared" si="145"/>
        <v>0</v>
      </c>
      <c r="I700" s="1452">
        <v>0</v>
      </c>
      <c r="J700" s="1452">
        <v>0</v>
      </c>
      <c r="K700" s="1414"/>
      <c r="L700" s="1414"/>
      <c r="M700" s="1414">
        <f t="shared" si="150"/>
        <v>0</v>
      </c>
      <c r="N700" s="1414">
        <f t="shared" si="147"/>
        <v>0</v>
      </c>
      <c r="O700" s="1453">
        <f t="shared" si="148"/>
        <v>0</v>
      </c>
      <c r="P700" s="1328">
        <f t="shared" si="149"/>
        <v>0</v>
      </c>
    </row>
    <row r="701" spans="1:16" ht="15.5" hidden="1" customHeight="1" outlineLevel="1" thickBot="1" x14ac:dyDescent="0.3">
      <c r="A701" s="1416">
        <f t="shared" si="152"/>
        <v>3.12</v>
      </c>
      <c r="B701" s="1412" t="str">
        <f t="shared" si="152"/>
        <v xml:space="preserve">Additional bomb calorimeter </v>
      </c>
      <c r="C701" s="1416" t="str">
        <f t="shared" si="152"/>
        <v>MERC/CAPEX/20122013/00912</v>
      </c>
      <c r="D701" s="1456">
        <f t="shared" si="152"/>
        <v>41114</v>
      </c>
      <c r="E701" s="1414">
        <f t="shared" si="152"/>
        <v>0.44012000000000001</v>
      </c>
      <c r="F701" s="1452">
        <f t="shared" si="143"/>
        <v>0.19</v>
      </c>
      <c r="G701" s="1452">
        <f t="shared" si="144"/>
        <v>0.19</v>
      </c>
      <c r="H701" s="1452">
        <f t="shared" si="145"/>
        <v>0</v>
      </c>
      <c r="I701" s="1452">
        <v>0</v>
      </c>
      <c r="J701" s="1452">
        <v>0</v>
      </c>
      <c r="K701" s="1414"/>
      <c r="L701" s="1414"/>
      <c r="M701" s="1414">
        <f t="shared" si="150"/>
        <v>0</v>
      </c>
      <c r="N701" s="1414">
        <f t="shared" si="147"/>
        <v>0</v>
      </c>
      <c r="O701" s="1453">
        <f t="shared" si="148"/>
        <v>0</v>
      </c>
      <c r="P701" s="1328">
        <f t="shared" si="149"/>
        <v>0</v>
      </c>
    </row>
    <row r="702" spans="1:16" ht="15.5" hidden="1" customHeight="1" outlineLevel="1" thickBot="1" x14ac:dyDescent="0.3">
      <c r="A702" s="1416">
        <f t="shared" si="152"/>
        <v>3.13</v>
      </c>
      <c r="B702" s="1412" t="str">
        <f t="shared" si="152"/>
        <v xml:space="preserve">TGA analysis of the coal for operational optimization. </v>
      </c>
      <c r="C702" s="1416" t="str">
        <f t="shared" si="152"/>
        <v>MERC/CAPEX/20122013/00912</v>
      </c>
      <c r="D702" s="1456">
        <f t="shared" si="152"/>
        <v>41114</v>
      </c>
      <c r="E702" s="1414">
        <f t="shared" si="152"/>
        <v>0.53213999999999995</v>
      </c>
      <c r="F702" s="1452">
        <f t="shared" si="143"/>
        <v>0</v>
      </c>
      <c r="G702" s="1452">
        <f t="shared" si="144"/>
        <v>0</v>
      </c>
      <c r="H702" s="1452">
        <f t="shared" si="145"/>
        <v>0</v>
      </c>
      <c r="I702" s="1452">
        <v>0</v>
      </c>
      <c r="J702" s="1452">
        <v>0</v>
      </c>
      <c r="K702" s="1414"/>
      <c r="L702" s="1414"/>
      <c r="M702" s="1414">
        <f t="shared" si="150"/>
        <v>0</v>
      </c>
      <c r="N702" s="1414">
        <f t="shared" si="147"/>
        <v>0</v>
      </c>
      <c r="O702" s="1453">
        <f t="shared" si="148"/>
        <v>0</v>
      </c>
      <c r="P702" s="1328">
        <f t="shared" si="149"/>
        <v>0</v>
      </c>
    </row>
    <row r="703" spans="1:16" ht="15.5" hidden="1" customHeight="1" outlineLevel="1" thickBot="1" x14ac:dyDescent="0.3">
      <c r="A703" s="1406"/>
      <c r="B703" s="1412" t="str">
        <f t="shared" si="152"/>
        <v>IDC</v>
      </c>
      <c r="C703" s="1416" t="str">
        <f t="shared" si="152"/>
        <v>MERC/CAPEX/20122013/00912</v>
      </c>
      <c r="D703" s="1456">
        <f t="shared" si="152"/>
        <v>41114</v>
      </c>
      <c r="E703" s="1414">
        <f t="shared" si="152"/>
        <v>5.27</v>
      </c>
      <c r="F703" s="1452">
        <f t="shared" si="143"/>
        <v>0</v>
      </c>
      <c r="G703" s="1452">
        <f t="shared" si="144"/>
        <v>0</v>
      </c>
      <c r="H703" s="1452">
        <f t="shared" si="145"/>
        <v>0</v>
      </c>
      <c r="I703" s="1452">
        <v>0</v>
      </c>
      <c r="J703" s="1452">
        <v>0</v>
      </c>
      <c r="K703" s="1414"/>
      <c r="L703" s="1414"/>
      <c r="M703" s="1414">
        <f t="shared" si="150"/>
        <v>0</v>
      </c>
      <c r="N703" s="1414">
        <f t="shared" si="147"/>
        <v>0</v>
      </c>
      <c r="O703" s="1453">
        <f t="shared" si="148"/>
        <v>0</v>
      </c>
      <c r="P703" s="1328">
        <f t="shared" si="149"/>
        <v>0</v>
      </c>
    </row>
    <row r="704" spans="1:16" ht="31" hidden="1" customHeight="1" outlineLevel="1" thickBot="1" x14ac:dyDescent="0.3">
      <c r="A704" s="1406">
        <f>A609</f>
        <v>4</v>
      </c>
      <c r="B704" s="1407" t="str">
        <f t="shared" si="152"/>
        <v>Turbine Auxiliary Performance Improvements</v>
      </c>
      <c r="C704" s="1406" t="str">
        <f t="shared" si="152"/>
        <v>MERC/CAPEX/20122013/02107</v>
      </c>
      <c r="D704" s="1451">
        <f t="shared" si="152"/>
        <v>41281</v>
      </c>
      <c r="E704" s="1452">
        <f t="shared" si="152"/>
        <v>20.108999999999998</v>
      </c>
      <c r="F704" s="1452">
        <f t="shared" si="143"/>
        <v>0</v>
      </c>
      <c r="G704" s="1452">
        <f t="shared" si="144"/>
        <v>0</v>
      </c>
      <c r="H704" s="1452">
        <f t="shared" si="145"/>
        <v>0</v>
      </c>
      <c r="I704" s="1452">
        <v>0</v>
      </c>
      <c r="J704" s="1452">
        <v>0</v>
      </c>
      <c r="K704" s="1452"/>
      <c r="L704" s="1452"/>
      <c r="M704" s="1452">
        <f t="shared" si="150"/>
        <v>0</v>
      </c>
      <c r="N704" s="1452">
        <f t="shared" si="147"/>
        <v>0</v>
      </c>
      <c r="O704" s="1453">
        <f t="shared" si="148"/>
        <v>0</v>
      </c>
      <c r="P704" s="1328">
        <f t="shared" si="149"/>
        <v>0</v>
      </c>
    </row>
    <row r="705" spans="1:16" ht="46.5" hidden="1" customHeight="1" outlineLevel="1" thickBot="1" x14ac:dyDescent="0.3">
      <c r="A705" s="1416">
        <f>A610</f>
        <v>4.0999999999999996</v>
      </c>
      <c r="B705" s="1412" t="str">
        <f t="shared" ref="B705:E717" si="153">B610</f>
        <v>Procurement and installation and commissioning of modified upgraded boiler feed pump (Type -200KHI/S) having energy efficient cartridge for unit 2 &amp; 3 , BTPS.</v>
      </c>
      <c r="C705" s="1416" t="str">
        <f t="shared" si="153"/>
        <v>MERC/CAPEX/20122013/02107</v>
      </c>
      <c r="D705" s="1456">
        <f t="shared" si="153"/>
        <v>41281</v>
      </c>
      <c r="E705" s="1414">
        <f t="shared" si="153"/>
        <v>17.47</v>
      </c>
      <c r="F705" s="1452">
        <f t="shared" si="143"/>
        <v>8.655683800000002</v>
      </c>
      <c r="G705" s="1452">
        <f t="shared" si="144"/>
        <v>8.655683800000002</v>
      </c>
      <c r="H705" s="1452">
        <f t="shared" si="145"/>
        <v>0</v>
      </c>
      <c r="I705" s="1452">
        <v>0</v>
      </c>
      <c r="J705" s="1452">
        <v>0</v>
      </c>
      <c r="K705" s="1414"/>
      <c r="L705" s="1414"/>
      <c r="M705" s="1414">
        <f t="shared" si="150"/>
        <v>0</v>
      </c>
      <c r="N705" s="1414">
        <f t="shared" si="147"/>
        <v>0</v>
      </c>
      <c r="O705" s="1453">
        <f t="shared" si="148"/>
        <v>0</v>
      </c>
      <c r="P705" s="1328">
        <f t="shared" si="149"/>
        <v>0</v>
      </c>
    </row>
    <row r="706" spans="1:16" ht="31" hidden="1" customHeight="1" outlineLevel="1" thickBot="1" x14ac:dyDescent="0.3">
      <c r="A706" s="1416">
        <f>A611</f>
        <v>4.2</v>
      </c>
      <c r="B706" s="1412" t="str">
        <f t="shared" si="153"/>
        <v>Replacement of brine pumps with modified pumps complete with S.S material in new WTP</v>
      </c>
      <c r="C706" s="1416" t="str">
        <f t="shared" si="153"/>
        <v>MERC/CAPEX/20122013/02107</v>
      </c>
      <c r="D706" s="1456">
        <f t="shared" si="153"/>
        <v>41281</v>
      </c>
      <c r="E706" s="1414">
        <f t="shared" si="153"/>
        <v>1.0289999999999999</v>
      </c>
      <c r="F706" s="1452">
        <f t="shared" si="143"/>
        <v>0.30159950000000002</v>
      </c>
      <c r="G706" s="1452">
        <f t="shared" si="144"/>
        <v>0.30159950000000002</v>
      </c>
      <c r="H706" s="1452">
        <f t="shared" si="145"/>
        <v>0</v>
      </c>
      <c r="I706" s="1452">
        <v>0</v>
      </c>
      <c r="J706" s="1452">
        <v>0</v>
      </c>
      <c r="K706" s="1414"/>
      <c r="L706" s="1414"/>
      <c r="M706" s="1414">
        <f t="shared" si="150"/>
        <v>0</v>
      </c>
      <c r="N706" s="1414">
        <f t="shared" si="147"/>
        <v>0</v>
      </c>
      <c r="O706" s="1453">
        <f t="shared" si="148"/>
        <v>0</v>
      </c>
      <c r="P706" s="1328">
        <f t="shared" si="149"/>
        <v>0</v>
      </c>
    </row>
    <row r="707" spans="1:16" ht="15.5" hidden="1" customHeight="1" outlineLevel="1" thickBot="1" x14ac:dyDescent="0.3">
      <c r="A707" s="1406"/>
      <c r="B707" s="1412" t="str">
        <f t="shared" si="153"/>
        <v>IDC</v>
      </c>
      <c r="C707" s="1416" t="str">
        <f t="shared" si="153"/>
        <v>MERC/CAPEX/20122013/02107</v>
      </c>
      <c r="D707" s="1456">
        <f t="shared" si="153"/>
        <v>41281</v>
      </c>
      <c r="E707" s="1414">
        <f t="shared" si="153"/>
        <v>1.61</v>
      </c>
      <c r="F707" s="1452">
        <f t="shared" si="143"/>
        <v>0</v>
      </c>
      <c r="G707" s="1452">
        <f t="shared" si="144"/>
        <v>0</v>
      </c>
      <c r="H707" s="1452">
        <f t="shared" si="145"/>
        <v>0</v>
      </c>
      <c r="I707" s="1452">
        <v>0</v>
      </c>
      <c r="J707" s="1452">
        <v>0</v>
      </c>
      <c r="K707" s="1414"/>
      <c r="L707" s="1414"/>
      <c r="M707" s="1414">
        <f t="shared" si="150"/>
        <v>0</v>
      </c>
      <c r="N707" s="1414">
        <f t="shared" si="147"/>
        <v>0</v>
      </c>
      <c r="O707" s="1453">
        <f t="shared" si="148"/>
        <v>0</v>
      </c>
      <c r="P707" s="1328">
        <f t="shared" si="149"/>
        <v>0</v>
      </c>
    </row>
    <row r="708" spans="1:16" ht="31" hidden="1" customHeight="1" outlineLevel="1" thickBot="1" x14ac:dyDescent="0.3">
      <c r="A708" s="1406">
        <f>A613</f>
        <v>5</v>
      </c>
      <c r="B708" s="1407" t="str">
        <f t="shared" si="153"/>
        <v>Replacement of Platen water wall coils U#2,Super Heater &amp; Platen Super Heater Coils for U#2 and Cold Reheater coils for U#2 &amp; U#3</v>
      </c>
      <c r="C708" s="1406" t="str">
        <f t="shared" si="153"/>
        <v>MERC/TECH-1/CAPEX/20142015/006</v>
      </c>
      <c r="D708" s="1451">
        <f t="shared" si="153"/>
        <v>41928</v>
      </c>
      <c r="E708" s="1452">
        <f t="shared" si="153"/>
        <v>13.692</v>
      </c>
      <c r="F708" s="1452">
        <f t="shared" si="143"/>
        <v>0</v>
      </c>
      <c r="G708" s="1452">
        <f t="shared" si="144"/>
        <v>0</v>
      </c>
      <c r="H708" s="1452">
        <f t="shared" si="145"/>
        <v>0</v>
      </c>
      <c r="I708" s="1452">
        <v>0</v>
      </c>
      <c r="J708" s="1452">
        <v>0</v>
      </c>
      <c r="K708" s="1452"/>
      <c r="L708" s="1452"/>
      <c r="M708" s="1452">
        <f t="shared" si="150"/>
        <v>0</v>
      </c>
      <c r="N708" s="1452">
        <f t="shared" si="147"/>
        <v>0</v>
      </c>
      <c r="O708" s="1453">
        <f t="shared" si="148"/>
        <v>0</v>
      </c>
      <c r="P708" s="1328">
        <f t="shared" si="149"/>
        <v>0</v>
      </c>
    </row>
    <row r="709" spans="1:16" ht="31" hidden="1" customHeight="1" outlineLevel="1" thickBot="1" x14ac:dyDescent="0.3">
      <c r="A709" s="1416">
        <f>A614</f>
        <v>5.0999999999999996</v>
      </c>
      <c r="B709" s="1419" t="str">
        <f t="shared" si="153"/>
        <v>Supply &amp; Erection of Platen Water wall coils Assembly from inlet header to outlet header in pent house for Unit No 2</v>
      </c>
      <c r="C709" s="1416" t="str">
        <f t="shared" si="153"/>
        <v>MERC/TECH-1/CAPEX/20142015/006</v>
      </c>
      <c r="D709" s="1456">
        <f t="shared" si="153"/>
        <v>41928</v>
      </c>
      <c r="E709" s="1414">
        <f t="shared" si="153"/>
        <v>1.1040000000000001</v>
      </c>
      <c r="F709" s="1452">
        <f t="shared" si="143"/>
        <v>0.54</v>
      </c>
      <c r="G709" s="1452">
        <f t="shared" si="144"/>
        <v>0.54</v>
      </c>
      <c r="H709" s="1452">
        <f t="shared" si="145"/>
        <v>0</v>
      </c>
      <c r="I709" s="1452">
        <v>0</v>
      </c>
      <c r="J709" s="1452">
        <v>0</v>
      </c>
      <c r="K709" s="1414"/>
      <c r="L709" s="1414"/>
      <c r="M709" s="1414">
        <f t="shared" si="150"/>
        <v>0</v>
      </c>
      <c r="N709" s="1414">
        <f t="shared" si="147"/>
        <v>0</v>
      </c>
      <c r="O709" s="1453">
        <f t="shared" si="148"/>
        <v>0</v>
      </c>
      <c r="P709" s="1328">
        <f t="shared" si="149"/>
        <v>0</v>
      </c>
    </row>
    <row r="710" spans="1:16" ht="62" hidden="1" customHeight="1" outlineLevel="1" thickBot="1" x14ac:dyDescent="0.3">
      <c r="A710" s="1416">
        <f>A615</f>
        <v>5.2</v>
      </c>
      <c r="B710" s="1419" t="str">
        <f t="shared" si="153"/>
        <v>Complete Supply &amp; Erection of Super Heater Radiant Roof Panel Tube  with Attachment  for Unit No 2 Boiler From front side of Boiler to rear side of boiler &amp; Vertical Platen Super Heater coils Assembly for Unit No 2, 210 MW Boiler.</v>
      </c>
      <c r="C710" s="1416" t="str">
        <f t="shared" si="153"/>
        <v>MERC/TECH-1/CAPEX/20142015/006</v>
      </c>
      <c r="D710" s="1456">
        <f t="shared" si="153"/>
        <v>41928</v>
      </c>
      <c r="E710" s="1414">
        <f t="shared" si="153"/>
        <v>5.4770000000000003</v>
      </c>
      <c r="F710" s="1452">
        <f t="shared" si="143"/>
        <v>5.4649043000000006</v>
      </c>
      <c r="G710" s="1452">
        <f t="shared" si="144"/>
        <v>5.4649043000000006</v>
      </c>
      <c r="H710" s="1452">
        <f t="shared" si="145"/>
        <v>0</v>
      </c>
      <c r="I710" s="1452">
        <v>0</v>
      </c>
      <c r="J710" s="1452">
        <v>0</v>
      </c>
      <c r="K710" s="1414"/>
      <c r="L710" s="1414"/>
      <c r="M710" s="1414">
        <f t="shared" si="150"/>
        <v>0</v>
      </c>
      <c r="N710" s="1414">
        <f t="shared" si="147"/>
        <v>0</v>
      </c>
      <c r="O710" s="1453">
        <f t="shared" si="148"/>
        <v>0</v>
      </c>
      <c r="P710" s="1328">
        <f t="shared" si="149"/>
        <v>0</v>
      </c>
    </row>
    <row r="711" spans="1:16" ht="62" hidden="1" customHeight="1" outlineLevel="1" thickBot="1" x14ac:dyDescent="0.3">
      <c r="A711" s="1416">
        <f>A616</f>
        <v>5.3</v>
      </c>
      <c r="B711" s="1419" t="str">
        <f t="shared" si="153"/>
        <v>Supply &amp; Erection of Reheater front Pendent Assembly consisting Full set of Cold Reheater coil assembly For Unit No 2 with necessary attachments, Crown Plate. Heat shield, roof seal bend, steam cooled spacer tube with necessary attachment.</v>
      </c>
      <c r="C711" s="1416" t="str">
        <f t="shared" si="153"/>
        <v>MERC/TECH-1/CAPEX/20142015/006</v>
      </c>
      <c r="D711" s="1456">
        <f t="shared" si="153"/>
        <v>41928</v>
      </c>
      <c r="E711" s="1414">
        <f t="shared" si="153"/>
        <v>2.7109999999999999</v>
      </c>
      <c r="F711" s="1452">
        <f t="shared" si="143"/>
        <v>2.6624558</v>
      </c>
      <c r="G711" s="1452">
        <f t="shared" si="144"/>
        <v>2.6624558</v>
      </c>
      <c r="H711" s="1452">
        <f t="shared" si="145"/>
        <v>0</v>
      </c>
      <c r="I711" s="1452">
        <v>0</v>
      </c>
      <c r="J711" s="1452">
        <v>0</v>
      </c>
      <c r="K711" s="1414"/>
      <c r="L711" s="1414"/>
      <c r="M711" s="1414">
        <f t="shared" si="150"/>
        <v>0</v>
      </c>
      <c r="N711" s="1414">
        <f t="shared" si="147"/>
        <v>0</v>
      </c>
      <c r="O711" s="1453">
        <f t="shared" si="148"/>
        <v>0</v>
      </c>
      <c r="P711" s="1328">
        <f t="shared" si="149"/>
        <v>0</v>
      </c>
    </row>
    <row r="712" spans="1:16" ht="62" hidden="1" customHeight="1" outlineLevel="1" thickBot="1" x14ac:dyDescent="0.3">
      <c r="A712" s="1416">
        <f>A617</f>
        <v>5.4</v>
      </c>
      <c r="B712" s="1419" t="str">
        <f t="shared" si="153"/>
        <v>Supply &amp; Erection of Reheater front Pendent Assembly consisting Full set of Cold Reheater coil assembly For Unit No 3 with necessary attachments, Crown Plate. Heat shield, roof seal bend, steam cooled spacer tube with necessary attachment.</v>
      </c>
      <c r="C712" s="1416" t="str">
        <f t="shared" si="153"/>
        <v>MERC/TECH-1/CAPEX/20142015/006</v>
      </c>
      <c r="D712" s="1456">
        <f t="shared" si="153"/>
        <v>41928</v>
      </c>
      <c r="E712" s="1414">
        <f t="shared" si="153"/>
        <v>2.7109999999999999</v>
      </c>
      <c r="F712" s="1452">
        <f t="shared" si="143"/>
        <v>2.3531</v>
      </c>
      <c r="G712" s="1452">
        <f t="shared" si="144"/>
        <v>2.3531</v>
      </c>
      <c r="H712" s="1452">
        <f t="shared" si="145"/>
        <v>0</v>
      </c>
      <c r="I712" s="1452">
        <v>0</v>
      </c>
      <c r="J712" s="1452">
        <v>0</v>
      </c>
      <c r="K712" s="1414"/>
      <c r="L712" s="1414"/>
      <c r="M712" s="1414">
        <f t="shared" si="150"/>
        <v>0</v>
      </c>
      <c r="N712" s="1414">
        <f t="shared" si="147"/>
        <v>0</v>
      </c>
      <c r="O712" s="1453">
        <f t="shared" si="148"/>
        <v>0</v>
      </c>
      <c r="P712" s="1328">
        <f t="shared" si="149"/>
        <v>0</v>
      </c>
    </row>
    <row r="713" spans="1:16" ht="31" hidden="1" customHeight="1" outlineLevel="1" thickBot="1" x14ac:dyDescent="0.3">
      <c r="A713" s="1406"/>
      <c r="B713" s="1419" t="str">
        <f t="shared" si="153"/>
        <v>IDC</v>
      </c>
      <c r="C713" s="1416" t="str">
        <f t="shared" si="153"/>
        <v>MERC/TECH-1/CAPEX/20142015/006</v>
      </c>
      <c r="D713" s="1456">
        <f t="shared" si="153"/>
        <v>41928</v>
      </c>
      <c r="E713" s="1414">
        <f t="shared" si="153"/>
        <v>1.6890000000000001</v>
      </c>
      <c r="F713" s="1452">
        <f t="shared" si="143"/>
        <v>0</v>
      </c>
      <c r="G713" s="1452">
        <f t="shared" si="144"/>
        <v>0</v>
      </c>
      <c r="H713" s="1452">
        <f t="shared" si="145"/>
        <v>0</v>
      </c>
      <c r="I713" s="1452">
        <v>0</v>
      </c>
      <c r="J713" s="1452">
        <v>0</v>
      </c>
      <c r="K713" s="1414"/>
      <c r="L713" s="1414"/>
      <c r="M713" s="1414">
        <f t="shared" si="150"/>
        <v>0</v>
      </c>
      <c r="N713" s="1414">
        <f t="shared" si="147"/>
        <v>0</v>
      </c>
      <c r="O713" s="1453">
        <f t="shared" si="148"/>
        <v>0</v>
      </c>
      <c r="P713" s="1328">
        <f t="shared" si="149"/>
        <v>0</v>
      </c>
    </row>
    <row r="714" spans="1:16" ht="46.5" hidden="1" customHeight="1" outlineLevel="1" thickBot="1" x14ac:dyDescent="0.3">
      <c r="A714" s="1406">
        <f>A619</f>
        <v>6</v>
      </c>
      <c r="B714" s="1407" t="str">
        <f t="shared" si="153"/>
        <v>Boiler Process Improvement by replacement of damaged valves and Boiler Perfm Imp by Air Pre-Heater Up gradation of U#2 &amp; U#3 at BTPS</v>
      </c>
      <c r="C714" s="1406" t="str">
        <f t="shared" si="153"/>
        <v>MERC/Tech-1/CAPEX /2014-15/00433</v>
      </c>
      <c r="D714" s="1451">
        <f t="shared" si="153"/>
        <v>41792</v>
      </c>
      <c r="E714" s="1452">
        <f t="shared" si="153"/>
        <v>17.369999999999997</v>
      </c>
      <c r="F714" s="1452">
        <f t="shared" si="143"/>
        <v>0</v>
      </c>
      <c r="G714" s="1452">
        <f t="shared" si="144"/>
        <v>0</v>
      </c>
      <c r="H714" s="1452">
        <f t="shared" si="145"/>
        <v>0</v>
      </c>
      <c r="I714" s="1452">
        <v>0</v>
      </c>
      <c r="J714" s="1452">
        <v>0</v>
      </c>
      <c r="K714" s="1452"/>
      <c r="L714" s="1452"/>
      <c r="M714" s="1452">
        <f t="shared" si="150"/>
        <v>0</v>
      </c>
      <c r="N714" s="1452">
        <f t="shared" si="147"/>
        <v>0</v>
      </c>
      <c r="O714" s="1453">
        <f t="shared" si="148"/>
        <v>0</v>
      </c>
      <c r="P714" s="1328">
        <f t="shared" si="149"/>
        <v>0</v>
      </c>
    </row>
    <row r="715" spans="1:16" ht="31" hidden="1" customHeight="1" outlineLevel="1" thickBot="1" x14ac:dyDescent="0.3">
      <c r="A715" s="1411">
        <f>A620</f>
        <v>6.1</v>
      </c>
      <c r="B715" s="1419" t="str">
        <f t="shared" si="153"/>
        <v>Replacement of boiler outlet valves and damaged valves of units 2 &amp; 3</v>
      </c>
      <c r="C715" s="1411" t="str">
        <f t="shared" si="153"/>
        <v>MERC/Tech-1/CAPEX /2014-15/00433</v>
      </c>
      <c r="D715" s="1454">
        <f t="shared" si="153"/>
        <v>41792</v>
      </c>
      <c r="E715" s="1414">
        <f t="shared" si="153"/>
        <v>2.62</v>
      </c>
      <c r="F715" s="1452">
        <f t="shared" si="143"/>
        <v>1.3984000000000001</v>
      </c>
      <c r="G715" s="1452">
        <f t="shared" si="144"/>
        <v>1.3984000000000001</v>
      </c>
      <c r="H715" s="1452">
        <f t="shared" si="145"/>
        <v>0</v>
      </c>
      <c r="I715" s="1452">
        <v>0</v>
      </c>
      <c r="J715" s="1452">
        <v>0</v>
      </c>
      <c r="K715" s="1414"/>
      <c r="L715" s="1414"/>
      <c r="M715" s="1414">
        <f t="shared" si="150"/>
        <v>0</v>
      </c>
      <c r="N715" s="1414">
        <f t="shared" si="147"/>
        <v>0</v>
      </c>
      <c r="O715" s="1453">
        <f t="shared" si="148"/>
        <v>0</v>
      </c>
      <c r="P715" s="1328">
        <f t="shared" si="149"/>
        <v>0</v>
      </c>
    </row>
    <row r="716" spans="1:16" ht="31" hidden="1" customHeight="1" outlineLevel="1" thickBot="1" x14ac:dyDescent="0.3">
      <c r="A716" s="1411">
        <f>A621</f>
        <v>6.2</v>
      </c>
      <c r="B716" s="1419" t="str">
        <f t="shared" si="153"/>
        <v>Air pre heater up gradation of heat exchanger matrix &amp; regenerative dynamic sealing of units 2 &amp; 3</v>
      </c>
      <c r="C716" s="1411" t="str">
        <f t="shared" si="153"/>
        <v>MERC/Tech-1/CAPEX /2014-15/00433</v>
      </c>
      <c r="D716" s="1454">
        <f t="shared" si="153"/>
        <v>41792</v>
      </c>
      <c r="E716" s="1414">
        <f t="shared" si="153"/>
        <v>13.404999999999999</v>
      </c>
      <c r="F716" s="1452">
        <f t="shared" si="143"/>
        <v>1.2086276</v>
      </c>
      <c r="G716" s="1452">
        <f t="shared" si="144"/>
        <v>1.2086276</v>
      </c>
      <c r="H716" s="1452">
        <f t="shared" si="145"/>
        <v>0</v>
      </c>
      <c r="I716" s="1452">
        <v>0</v>
      </c>
      <c r="J716" s="1452">
        <v>0</v>
      </c>
      <c r="K716" s="1414"/>
      <c r="L716" s="1414"/>
      <c r="M716" s="1414">
        <f t="shared" si="150"/>
        <v>0</v>
      </c>
      <c r="N716" s="1414">
        <f t="shared" si="147"/>
        <v>0</v>
      </c>
      <c r="O716" s="1453">
        <f t="shared" si="148"/>
        <v>0</v>
      </c>
      <c r="P716" s="1328">
        <f t="shared" si="149"/>
        <v>0</v>
      </c>
    </row>
    <row r="717" spans="1:16" ht="31" hidden="1" customHeight="1" outlineLevel="1" thickBot="1" x14ac:dyDescent="0.3">
      <c r="A717" s="1411"/>
      <c r="B717" s="1419" t="str">
        <f t="shared" si="153"/>
        <v>IDC</v>
      </c>
      <c r="C717" s="1411" t="str">
        <f t="shared" si="153"/>
        <v>MERC/Tech-1/CAPEX /2014-15/00433</v>
      </c>
      <c r="D717" s="1454">
        <f t="shared" si="153"/>
        <v>41792</v>
      </c>
      <c r="E717" s="1414">
        <f t="shared" si="153"/>
        <v>1.345</v>
      </c>
      <c r="F717" s="1452">
        <f t="shared" si="143"/>
        <v>0</v>
      </c>
      <c r="G717" s="1452">
        <f t="shared" si="144"/>
        <v>0</v>
      </c>
      <c r="H717" s="1452">
        <f t="shared" si="145"/>
        <v>0</v>
      </c>
      <c r="I717" s="1452">
        <v>0</v>
      </c>
      <c r="J717" s="1452">
        <v>0</v>
      </c>
      <c r="K717" s="1414"/>
      <c r="L717" s="1414"/>
      <c r="M717" s="1414">
        <f t="shared" si="150"/>
        <v>0</v>
      </c>
      <c r="N717" s="1414">
        <f t="shared" si="147"/>
        <v>0</v>
      </c>
      <c r="O717" s="1453">
        <f t="shared" si="148"/>
        <v>0</v>
      </c>
      <c r="P717" s="1328">
        <f t="shared" si="149"/>
        <v>0</v>
      </c>
    </row>
    <row r="718" spans="1:16" ht="31" hidden="1" customHeight="1" outlineLevel="1" thickBot="1" x14ac:dyDescent="0.3">
      <c r="A718" s="1406">
        <f t="shared" ref="A718:E730" si="154">A623</f>
        <v>8</v>
      </c>
      <c r="B718" s="1407" t="str">
        <f t="shared" si="154"/>
        <v>Stack management by procurement of Bulldozer &amp; LOCO and CHP area schemes for performance &amp; unloading improvement</v>
      </c>
      <c r="C718" s="1406" t="str">
        <f t="shared" si="154"/>
        <v>MERC/CAPEX/20162017/01426</v>
      </c>
      <c r="D718" s="1451">
        <f t="shared" si="154"/>
        <v>42768</v>
      </c>
      <c r="E718" s="1452">
        <f t="shared" si="154"/>
        <v>2.0930578512396689</v>
      </c>
      <c r="F718" s="1452">
        <f t="shared" si="143"/>
        <v>0</v>
      </c>
      <c r="G718" s="1452">
        <f t="shared" si="144"/>
        <v>0</v>
      </c>
      <c r="H718" s="1452">
        <f t="shared" si="145"/>
        <v>0</v>
      </c>
      <c r="I718" s="1452">
        <v>0</v>
      </c>
      <c r="J718" s="1452">
        <v>0</v>
      </c>
      <c r="K718" s="1452"/>
      <c r="L718" s="1452"/>
      <c r="M718" s="1452">
        <f t="shared" si="150"/>
        <v>0</v>
      </c>
      <c r="N718" s="1452">
        <f t="shared" si="147"/>
        <v>0</v>
      </c>
      <c r="O718" s="1453">
        <f t="shared" si="148"/>
        <v>0</v>
      </c>
      <c r="P718" s="1328">
        <f t="shared" si="149"/>
        <v>0</v>
      </c>
    </row>
    <row r="719" spans="1:16" ht="15.5" hidden="1" customHeight="1" outlineLevel="1" thickBot="1" x14ac:dyDescent="0.3">
      <c r="A719" s="1411">
        <f t="shared" si="154"/>
        <v>8.1</v>
      </c>
      <c r="B719" s="1419" t="str">
        <f t="shared" si="154"/>
        <v>Procurement of Locomotive 800 HP (2 No.’s)</v>
      </c>
      <c r="C719" s="1411" t="str">
        <f t="shared" si="154"/>
        <v>MERC/CAPEX/20162017/01426</v>
      </c>
      <c r="D719" s="1454">
        <f t="shared" si="154"/>
        <v>42768</v>
      </c>
      <c r="E719" s="1414">
        <f t="shared" si="154"/>
        <v>1.0395867768595042</v>
      </c>
      <c r="F719" s="1452">
        <f t="shared" si="143"/>
        <v>1.0134768000000001</v>
      </c>
      <c r="G719" s="1452">
        <f t="shared" si="144"/>
        <v>1.0134768000000001</v>
      </c>
      <c r="H719" s="1452">
        <f t="shared" si="145"/>
        <v>0</v>
      </c>
      <c r="I719" s="1452">
        <v>0</v>
      </c>
      <c r="J719" s="1452">
        <v>0</v>
      </c>
      <c r="K719" s="1414"/>
      <c r="L719" s="1414"/>
      <c r="M719" s="1414">
        <f t="shared" si="150"/>
        <v>0</v>
      </c>
      <c r="N719" s="1414">
        <f t="shared" si="147"/>
        <v>0</v>
      </c>
      <c r="O719" s="1453">
        <f t="shared" si="148"/>
        <v>0</v>
      </c>
      <c r="P719" s="1328">
        <f t="shared" si="149"/>
        <v>0</v>
      </c>
    </row>
    <row r="720" spans="1:16" ht="15.5" hidden="1" customHeight="1" outlineLevel="1" thickBot="1" x14ac:dyDescent="0.3">
      <c r="A720" s="1411">
        <f t="shared" si="154"/>
        <v>8.1999999999999993</v>
      </c>
      <c r="B720" s="1419" t="str">
        <f t="shared" si="154"/>
        <v>Procurement of 2 No’s of Bulldozer Model D-155(2 No.’s)</v>
      </c>
      <c r="C720" s="1411" t="str">
        <f t="shared" si="154"/>
        <v>MERC/CAPEX/20162017/01426</v>
      </c>
      <c r="D720" s="1454">
        <f t="shared" si="154"/>
        <v>42768</v>
      </c>
      <c r="E720" s="1414">
        <f t="shared" si="154"/>
        <v>0.5380165289256198</v>
      </c>
      <c r="F720" s="1452">
        <f t="shared" si="143"/>
        <v>0.72968922148760329</v>
      </c>
      <c r="G720" s="1452">
        <f t="shared" si="144"/>
        <v>0.72968922148760329</v>
      </c>
      <c r="H720" s="1452">
        <f t="shared" si="145"/>
        <v>0</v>
      </c>
      <c r="I720" s="1452">
        <v>0</v>
      </c>
      <c r="J720" s="1452">
        <v>0</v>
      </c>
      <c r="K720" s="1414"/>
      <c r="L720" s="1414"/>
      <c r="M720" s="1414">
        <f t="shared" si="150"/>
        <v>0</v>
      </c>
      <c r="N720" s="1414">
        <f t="shared" si="147"/>
        <v>0</v>
      </c>
      <c r="O720" s="1453">
        <f t="shared" si="148"/>
        <v>0</v>
      </c>
      <c r="P720" s="1328">
        <f t="shared" si="149"/>
        <v>0</v>
      </c>
    </row>
    <row r="721" spans="1:16" ht="15.5" hidden="1" customHeight="1" outlineLevel="1" thickBot="1" x14ac:dyDescent="0.3">
      <c r="A721" s="1411">
        <f t="shared" si="154"/>
        <v>8.3000000000000007</v>
      </c>
      <c r="B721" s="1419" t="str">
        <f t="shared" si="154"/>
        <v>Modification below primary crusher chutes 15A/B &amp; Conv.02</v>
      </c>
      <c r="C721" s="1411" t="str">
        <f t="shared" si="154"/>
        <v>MERC/CAPEX/20162017/01426</v>
      </c>
      <c r="D721" s="1454">
        <f t="shared" si="154"/>
        <v>42768</v>
      </c>
      <c r="E721" s="1414">
        <f t="shared" si="154"/>
        <v>9.0247933884297526E-2</v>
      </c>
      <c r="F721" s="1452">
        <f t="shared" si="143"/>
        <v>7.9869421487603301E-2</v>
      </c>
      <c r="G721" s="1452">
        <f t="shared" si="144"/>
        <v>7.9869421487603301E-2</v>
      </c>
      <c r="H721" s="1452">
        <f t="shared" si="145"/>
        <v>0</v>
      </c>
      <c r="I721" s="1452">
        <v>0</v>
      </c>
      <c r="J721" s="1452">
        <v>0</v>
      </c>
      <c r="K721" s="1414"/>
      <c r="L721" s="1414"/>
      <c r="M721" s="1414">
        <f t="shared" si="150"/>
        <v>0</v>
      </c>
      <c r="N721" s="1414">
        <f t="shared" si="147"/>
        <v>0</v>
      </c>
      <c r="O721" s="1453">
        <f t="shared" si="148"/>
        <v>0</v>
      </c>
      <c r="P721" s="1328">
        <f t="shared" si="149"/>
        <v>0</v>
      </c>
    </row>
    <row r="722" spans="1:16" ht="15.5" hidden="1" customHeight="1" outlineLevel="1" thickBot="1" x14ac:dyDescent="0.3">
      <c r="A722" s="1411">
        <f t="shared" si="154"/>
        <v>8.4</v>
      </c>
      <c r="B722" s="1419" t="str">
        <f t="shared" si="154"/>
        <v>New helical gear box for various conveyors</v>
      </c>
      <c r="C722" s="1411" t="str">
        <f t="shared" si="154"/>
        <v>MERC/CAPEX/20162017/01426</v>
      </c>
      <c r="D722" s="1454">
        <f t="shared" si="154"/>
        <v>42768</v>
      </c>
      <c r="E722" s="1414">
        <f t="shared" si="154"/>
        <v>0.16661157024793388</v>
      </c>
      <c r="F722" s="1452">
        <f t="shared" si="143"/>
        <v>0</v>
      </c>
      <c r="G722" s="1452">
        <f t="shared" si="144"/>
        <v>0</v>
      </c>
      <c r="H722" s="1452">
        <f t="shared" si="145"/>
        <v>0</v>
      </c>
      <c r="I722" s="1452">
        <v>0</v>
      </c>
      <c r="J722" s="1452">
        <v>0</v>
      </c>
      <c r="K722" s="1414"/>
      <c r="L722" s="1414"/>
      <c r="M722" s="1414">
        <f t="shared" si="150"/>
        <v>0</v>
      </c>
      <c r="N722" s="1414">
        <f t="shared" si="147"/>
        <v>0</v>
      </c>
      <c r="O722" s="1453">
        <f t="shared" si="148"/>
        <v>0</v>
      </c>
      <c r="P722" s="1328">
        <f t="shared" si="149"/>
        <v>0</v>
      </c>
    </row>
    <row r="723" spans="1:16" ht="15.5" hidden="1" customHeight="1" outlineLevel="1" thickBot="1" x14ac:dyDescent="0.3">
      <c r="A723" s="1411">
        <f t="shared" si="154"/>
        <v>8.5</v>
      </c>
      <c r="B723" s="1419" t="str">
        <f t="shared" si="154"/>
        <v xml:space="preserve">Procurement of Elecon Make Ring Granulator Type TK-09-38B </v>
      </c>
      <c r="C723" s="1411" t="str">
        <f t="shared" si="154"/>
        <v>MERC/CAPEX/20162017/01426</v>
      </c>
      <c r="D723" s="1454">
        <f t="shared" si="154"/>
        <v>42768</v>
      </c>
      <c r="E723" s="1414">
        <f t="shared" si="154"/>
        <v>0.11280991735537189</v>
      </c>
      <c r="F723" s="1452">
        <f t="shared" si="143"/>
        <v>0</v>
      </c>
      <c r="G723" s="1452">
        <f t="shared" si="144"/>
        <v>0</v>
      </c>
      <c r="H723" s="1452">
        <f t="shared" si="145"/>
        <v>0</v>
      </c>
      <c r="I723" s="1452">
        <v>0</v>
      </c>
      <c r="J723" s="1452">
        <v>0</v>
      </c>
      <c r="K723" s="1414"/>
      <c r="L723" s="1414"/>
      <c r="M723" s="1414">
        <f t="shared" si="150"/>
        <v>0</v>
      </c>
      <c r="N723" s="1414">
        <f t="shared" si="147"/>
        <v>0</v>
      </c>
      <c r="O723" s="1453">
        <f t="shared" si="148"/>
        <v>0</v>
      </c>
      <c r="P723" s="1328">
        <f t="shared" si="149"/>
        <v>0</v>
      </c>
    </row>
    <row r="724" spans="1:16" ht="31" hidden="1" customHeight="1" outlineLevel="1" thickBot="1" x14ac:dyDescent="0.3">
      <c r="A724" s="1411">
        <f t="shared" si="154"/>
        <v>8.6</v>
      </c>
      <c r="B724" s="1419" t="str">
        <f t="shared" si="154"/>
        <v>Procurement of Elecon Make Ring Granulator Type TK6 32B Ring Granulator</v>
      </c>
      <c r="C724" s="1411" t="str">
        <f t="shared" si="154"/>
        <v>MERC/CAPEX/20162017/01426</v>
      </c>
      <c r="D724" s="1454">
        <f t="shared" si="154"/>
        <v>42768</v>
      </c>
      <c r="E724" s="1414">
        <f t="shared" si="154"/>
        <v>7.1157024793388424E-2</v>
      </c>
      <c r="F724" s="1452">
        <f t="shared" si="143"/>
        <v>0</v>
      </c>
      <c r="G724" s="1452">
        <f t="shared" si="144"/>
        <v>0</v>
      </c>
      <c r="H724" s="1452">
        <f t="shared" si="145"/>
        <v>0</v>
      </c>
      <c r="I724" s="1452">
        <v>0</v>
      </c>
      <c r="J724" s="1452">
        <v>0</v>
      </c>
      <c r="K724" s="1414"/>
      <c r="L724" s="1414"/>
      <c r="M724" s="1414">
        <f t="shared" si="150"/>
        <v>0</v>
      </c>
      <c r="N724" s="1414">
        <f t="shared" si="147"/>
        <v>0</v>
      </c>
      <c r="O724" s="1453">
        <f t="shared" si="148"/>
        <v>0</v>
      </c>
      <c r="P724" s="1328">
        <f t="shared" si="149"/>
        <v>0</v>
      </c>
    </row>
    <row r="725" spans="1:16" ht="15.5" hidden="1" customHeight="1" outlineLevel="1" thickBot="1" x14ac:dyDescent="0.3">
      <c r="A725" s="1411"/>
      <c r="B725" s="1419" t="str">
        <f t="shared" si="154"/>
        <v>IDC</v>
      </c>
      <c r="C725" s="1411" t="str">
        <f t="shared" si="154"/>
        <v>MERC/CAPEX/20162017/01426</v>
      </c>
      <c r="D725" s="1454">
        <f t="shared" si="154"/>
        <v>42768</v>
      </c>
      <c r="E725" s="1414">
        <f t="shared" si="154"/>
        <v>7.4628099173553716E-2</v>
      </c>
      <c r="F725" s="1452">
        <f t="shared" si="143"/>
        <v>0</v>
      </c>
      <c r="G725" s="1452">
        <f t="shared" si="144"/>
        <v>0</v>
      </c>
      <c r="H725" s="1452">
        <f t="shared" si="145"/>
        <v>0</v>
      </c>
      <c r="I725" s="1452">
        <v>0</v>
      </c>
      <c r="J725" s="1452">
        <v>0</v>
      </c>
      <c r="K725" s="1414"/>
      <c r="L725" s="1414"/>
      <c r="M725" s="1414">
        <f t="shared" si="150"/>
        <v>0</v>
      </c>
      <c r="N725" s="1414">
        <f t="shared" si="147"/>
        <v>0</v>
      </c>
      <c r="O725" s="1453">
        <f t="shared" si="148"/>
        <v>0</v>
      </c>
      <c r="P725" s="1328">
        <f t="shared" si="149"/>
        <v>0</v>
      </c>
    </row>
    <row r="726" spans="1:16" ht="46.5" hidden="1" customHeight="1" outlineLevel="1" thickBot="1" x14ac:dyDescent="0.3">
      <c r="A726" s="1406">
        <f>A631</f>
        <v>14</v>
      </c>
      <c r="B726" s="1407" t="str">
        <f t="shared" si="154"/>
        <v>Upgradation of Symphony Harmony DCS, 220V 1285 AH Battery &amp; Charger and Replacement of 6.6 kV HT MOCB by VCB at BTPS, Bhusawal</v>
      </c>
      <c r="C726" s="1406" t="str">
        <f t="shared" si="154"/>
        <v>MERC/CAPEX/2019-2020/915</v>
      </c>
      <c r="D726" s="1451">
        <f t="shared" si="154"/>
        <v>43760</v>
      </c>
      <c r="E726" s="1452">
        <f t="shared" si="154"/>
        <v>13.72861</v>
      </c>
      <c r="F726" s="1452">
        <f t="shared" si="143"/>
        <v>0</v>
      </c>
      <c r="G726" s="1452">
        <f t="shared" si="144"/>
        <v>0</v>
      </c>
      <c r="H726" s="1452">
        <f t="shared" si="145"/>
        <v>0</v>
      </c>
      <c r="I726" s="1452">
        <v>0</v>
      </c>
      <c r="J726" s="1452">
        <v>0</v>
      </c>
      <c r="K726" s="1452"/>
      <c r="L726" s="1452"/>
      <c r="M726" s="1452">
        <f t="shared" si="150"/>
        <v>0</v>
      </c>
      <c r="N726" s="1452">
        <f t="shared" si="147"/>
        <v>0</v>
      </c>
      <c r="O726" s="1453">
        <f t="shared" si="148"/>
        <v>0</v>
      </c>
      <c r="P726" s="1328">
        <f t="shared" si="149"/>
        <v>0</v>
      </c>
    </row>
    <row r="727" spans="1:16" ht="31" hidden="1" customHeight="1" outlineLevel="1" thickBot="1" x14ac:dyDescent="0.3">
      <c r="A727" s="1411">
        <f>A632</f>
        <v>14.1</v>
      </c>
      <c r="B727" s="1419" t="str">
        <f t="shared" si="154"/>
        <v>HMI Up-gradation of Symphony Harmony DCS Unit-3, 210MW, BTPS.</v>
      </c>
      <c r="C727" s="1411" t="str">
        <f t="shared" si="154"/>
        <v>MERC/CAPEX/2019-2020/915</v>
      </c>
      <c r="D727" s="1454">
        <f t="shared" si="154"/>
        <v>43760</v>
      </c>
      <c r="E727" s="1457">
        <f t="shared" si="154"/>
        <v>5.54</v>
      </c>
      <c r="F727" s="1452">
        <f t="shared" si="143"/>
        <v>5.54</v>
      </c>
      <c r="G727" s="1452">
        <f t="shared" si="144"/>
        <v>5.54</v>
      </c>
      <c r="H727" s="1452">
        <f t="shared" si="145"/>
        <v>0</v>
      </c>
      <c r="I727" s="1452">
        <v>0</v>
      </c>
      <c r="J727" s="1452">
        <v>0</v>
      </c>
      <c r="K727" s="1457"/>
      <c r="L727" s="1457"/>
      <c r="M727" s="1457">
        <f t="shared" si="150"/>
        <v>0</v>
      </c>
      <c r="N727" s="1457">
        <f t="shared" si="147"/>
        <v>0</v>
      </c>
      <c r="O727" s="1453">
        <f t="shared" si="148"/>
        <v>0</v>
      </c>
      <c r="P727" s="1328">
        <f t="shared" si="149"/>
        <v>0</v>
      </c>
    </row>
    <row r="728" spans="1:16" ht="46.5" hidden="1" customHeight="1" outlineLevel="1" thickBot="1" x14ac:dyDescent="0.3">
      <c r="A728" s="1411">
        <f>A633</f>
        <v>14.2</v>
      </c>
      <c r="B728" s="1419" t="str">
        <f t="shared" si="154"/>
        <v>Supply, erection, commissioning and site testing of Plante 220V DC, 1285 AH, Station Battery Set and charging equipment for 1285 AH Plante battery for Unit 3.</v>
      </c>
      <c r="C728" s="1411" t="str">
        <f t="shared" si="154"/>
        <v>MERC/CAPEX/2019-2020/915</v>
      </c>
      <c r="D728" s="1454">
        <f t="shared" si="154"/>
        <v>43760</v>
      </c>
      <c r="E728" s="1457">
        <f t="shared" si="154"/>
        <v>1.71861</v>
      </c>
      <c r="F728" s="1452">
        <f t="shared" si="143"/>
        <v>1.71861</v>
      </c>
      <c r="G728" s="1452">
        <f t="shared" si="144"/>
        <v>1.71861</v>
      </c>
      <c r="H728" s="1452">
        <f t="shared" si="145"/>
        <v>0</v>
      </c>
      <c r="I728" s="1452">
        <v>0</v>
      </c>
      <c r="J728" s="1452">
        <v>0</v>
      </c>
      <c r="K728" s="1457"/>
      <c r="L728" s="1457"/>
      <c r="M728" s="1457">
        <f t="shared" si="150"/>
        <v>0</v>
      </c>
      <c r="N728" s="1457">
        <f t="shared" si="147"/>
        <v>0</v>
      </c>
      <c r="O728" s="1453">
        <f t="shared" si="148"/>
        <v>0</v>
      </c>
      <c r="P728" s="1328">
        <f t="shared" si="149"/>
        <v>0</v>
      </c>
    </row>
    <row r="729" spans="1:16" ht="31" hidden="1" customHeight="1" outlineLevel="1" thickBot="1" x14ac:dyDescent="0.3">
      <c r="A729" s="1411">
        <f>A634</f>
        <v>14.3</v>
      </c>
      <c r="B729" s="1419" t="str">
        <f t="shared" si="154"/>
        <v>Retrofitting of 6.6 kv breakers of unit -3 along without door plant boards by vacuum circuit breakers.</v>
      </c>
      <c r="C729" s="1411" t="str">
        <f t="shared" si="154"/>
        <v>MERC/CAPEX/2019-2020/915</v>
      </c>
      <c r="D729" s="1454">
        <f t="shared" si="154"/>
        <v>43760</v>
      </c>
      <c r="E729" s="1457">
        <f t="shared" si="154"/>
        <v>6.47</v>
      </c>
      <c r="F729" s="1452">
        <f t="shared" si="143"/>
        <v>6.1082700000000001</v>
      </c>
      <c r="G729" s="1452">
        <f t="shared" si="144"/>
        <v>6.1082700000000001</v>
      </c>
      <c r="H729" s="1452">
        <f t="shared" si="145"/>
        <v>0</v>
      </c>
      <c r="I729" s="1452">
        <v>0</v>
      </c>
      <c r="J729" s="1452">
        <v>0</v>
      </c>
      <c r="K729" s="1457"/>
      <c r="L729" s="1457"/>
      <c r="M729" s="1457">
        <f t="shared" si="150"/>
        <v>0</v>
      </c>
      <c r="N729" s="1457">
        <f t="shared" si="147"/>
        <v>0</v>
      </c>
      <c r="O729" s="1453">
        <f t="shared" si="148"/>
        <v>0</v>
      </c>
      <c r="P729" s="1328">
        <f t="shared" si="149"/>
        <v>0</v>
      </c>
    </row>
    <row r="730" spans="1:16" ht="15.5" hidden="1" customHeight="1" outlineLevel="1" thickBot="1" x14ac:dyDescent="0.3">
      <c r="A730" s="1411"/>
      <c r="B730" s="1419" t="str">
        <f t="shared" si="154"/>
        <v>IDC</v>
      </c>
      <c r="C730" s="1411" t="str">
        <f t="shared" si="154"/>
        <v>MERC/CAPEX/2019-2020/915</v>
      </c>
      <c r="D730" s="1454">
        <f t="shared" si="154"/>
        <v>43760</v>
      </c>
      <c r="E730" s="1457">
        <f t="shared" si="154"/>
        <v>0</v>
      </c>
      <c r="F730" s="1452">
        <f t="shared" si="143"/>
        <v>0</v>
      </c>
      <c r="G730" s="1452">
        <f t="shared" si="144"/>
        <v>0</v>
      </c>
      <c r="H730" s="1452">
        <f t="shared" si="145"/>
        <v>0</v>
      </c>
      <c r="I730" s="1452">
        <v>0</v>
      </c>
      <c r="J730" s="1452">
        <v>0</v>
      </c>
      <c r="K730" s="1457"/>
      <c r="L730" s="1457"/>
      <c r="M730" s="1457">
        <f t="shared" si="150"/>
        <v>0</v>
      </c>
      <c r="N730" s="1457">
        <f t="shared" si="147"/>
        <v>0</v>
      </c>
      <c r="O730" s="1453">
        <f t="shared" si="148"/>
        <v>0</v>
      </c>
      <c r="P730" s="1328">
        <f t="shared" si="149"/>
        <v>0</v>
      </c>
    </row>
    <row r="731" spans="1:16" ht="46.5" hidden="1" customHeight="1" outlineLevel="1" thickBot="1" x14ac:dyDescent="0.3">
      <c r="A731" s="1406" t="str">
        <f t="shared" ref="A731:E746" si="155">A636</f>
        <v>HO
DPR-5</v>
      </c>
      <c r="B731" s="1407" t="str">
        <f t="shared" si="155"/>
        <v>Procurement of energy efficient HT motors at Bhusawal TPS, Koradi TPS, Chandrapur TPS, khaperkheda TPS, Parli TPS &amp; Paras TPS as insurance spares</v>
      </c>
      <c r="C731" s="1406" t="str">
        <f t="shared" si="155"/>
        <v>MERC/TECH 1/CAPEX/20142015/01218</v>
      </c>
      <c r="D731" s="1451">
        <f t="shared" si="155"/>
        <v>41968</v>
      </c>
      <c r="E731" s="1452">
        <f t="shared" si="155"/>
        <v>1.91</v>
      </c>
      <c r="F731" s="1452">
        <f t="shared" si="143"/>
        <v>0</v>
      </c>
      <c r="G731" s="1452">
        <f t="shared" si="144"/>
        <v>0</v>
      </c>
      <c r="H731" s="1452">
        <f t="shared" si="145"/>
        <v>0</v>
      </c>
      <c r="I731" s="1452">
        <v>0</v>
      </c>
      <c r="J731" s="1452">
        <v>0</v>
      </c>
      <c r="K731" s="1458"/>
      <c r="L731" s="1458"/>
      <c r="M731" s="1458">
        <f t="shared" si="150"/>
        <v>0</v>
      </c>
      <c r="N731" s="1458">
        <f t="shared" si="147"/>
        <v>0</v>
      </c>
      <c r="O731" s="1453">
        <f t="shared" si="148"/>
        <v>0</v>
      </c>
      <c r="P731" s="1328">
        <f t="shared" si="149"/>
        <v>0</v>
      </c>
    </row>
    <row r="732" spans="1:16" ht="31" hidden="1" customHeight="1" outlineLevel="1" thickBot="1" x14ac:dyDescent="0.4">
      <c r="A732" s="1416" t="str">
        <f t="shared" si="155"/>
        <v>HO
DPR 5.1</v>
      </c>
      <c r="B732" s="1422" t="str">
        <f t="shared" si="155"/>
        <v>Bhusawal: Procurement of HT motors (Coal Mill/CEP/CWP) for U-3</v>
      </c>
      <c r="C732" s="1416" t="str">
        <f t="shared" si="155"/>
        <v>MERC/TECH 1/CAPEX/20142015/01218</v>
      </c>
      <c r="D732" s="1456">
        <f t="shared" si="155"/>
        <v>41968</v>
      </c>
      <c r="E732" s="1455">
        <f t="shared" si="155"/>
        <v>1.91</v>
      </c>
      <c r="F732" s="1452">
        <f t="shared" si="143"/>
        <v>0.69702600000000003</v>
      </c>
      <c r="G732" s="1452">
        <f t="shared" si="144"/>
        <v>0.69702600000000003</v>
      </c>
      <c r="H732" s="1452">
        <f t="shared" si="145"/>
        <v>0</v>
      </c>
      <c r="I732" s="1452">
        <v>0</v>
      </c>
      <c r="J732" s="1452">
        <v>0</v>
      </c>
      <c r="K732" s="1455"/>
      <c r="L732" s="1455"/>
      <c r="M732" s="1455">
        <f t="shared" si="150"/>
        <v>0</v>
      </c>
      <c r="N732" s="1455">
        <f t="shared" si="147"/>
        <v>0</v>
      </c>
      <c r="O732" s="1453">
        <f t="shared" si="148"/>
        <v>0</v>
      </c>
      <c r="P732" s="1328">
        <f t="shared" si="149"/>
        <v>0</v>
      </c>
    </row>
    <row r="733" spans="1:16" ht="46.5" hidden="1" customHeight="1" outlineLevel="1" thickBot="1" x14ac:dyDescent="0.3">
      <c r="A733" s="1406" t="str">
        <f t="shared" si="155"/>
        <v>HO
DPR 6</v>
      </c>
      <c r="B733" s="1407" t="str">
        <f t="shared" si="155"/>
        <v>Supply, Installation, Commissioning and Operation &amp; Maintenance Services of Continuous Ambient Air Quality Monitoring Stations (CAAQMS) at various TPS</v>
      </c>
      <c r="C733" s="1406" t="str">
        <f t="shared" si="155"/>
        <v>MERC/CAPEX/20162017/00423</v>
      </c>
      <c r="D733" s="1451">
        <f t="shared" si="155"/>
        <v>42585</v>
      </c>
      <c r="E733" s="1452">
        <f t="shared" si="155"/>
        <v>1.3257526714285714</v>
      </c>
      <c r="F733" s="1452">
        <f t="shared" si="143"/>
        <v>0</v>
      </c>
      <c r="G733" s="1452">
        <f t="shared" si="144"/>
        <v>0</v>
      </c>
      <c r="H733" s="1452">
        <f t="shared" si="145"/>
        <v>0</v>
      </c>
      <c r="I733" s="1452">
        <v>0</v>
      </c>
      <c r="J733" s="1452">
        <v>0</v>
      </c>
      <c r="K733" s="1458"/>
      <c r="L733" s="1458"/>
      <c r="M733" s="1458">
        <f t="shared" si="150"/>
        <v>0</v>
      </c>
      <c r="N733" s="1458">
        <f t="shared" si="147"/>
        <v>0</v>
      </c>
      <c r="O733" s="1453">
        <f t="shared" si="148"/>
        <v>0</v>
      </c>
      <c r="P733" s="1328">
        <f t="shared" si="149"/>
        <v>0</v>
      </c>
    </row>
    <row r="734" spans="1:16" ht="31" hidden="1" customHeight="1" outlineLevel="1" thickBot="1" x14ac:dyDescent="0.4">
      <c r="A734" s="1416" t="str">
        <f t="shared" si="155"/>
        <v>HO
DPR 6.1</v>
      </c>
      <c r="B734" s="1422" t="str">
        <f t="shared" si="155"/>
        <v>Bhusawal: Unit 2-3 (1 Nos.)</v>
      </c>
      <c r="C734" s="1416" t="str">
        <f t="shared" si="155"/>
        <v>MERC/CAPEX/20162017/00423</v>
      </c>
      <c r="D734" s="1459">
        <f t="shared" si="155"/>
        <v>42585</v>
      </c>
      <c r="E734" s="1455">
        <f t="shared" si="155"/>
        <v>1.3257526714285714</v>
      </c>
      <c r="F734" s="1452">
        <f t="shared" si="143"/>
        <v>0.9383999666666667</v>
      </c>
      <c r="G734" s="1452">
        <f t="shared" si="144"/>
        <v>0.9383999666666667</v>
      </c>
      <c r="H734" s="1452">
        <f t="shared" si="145"/>
        <v>0</v>
      </c>
      <c r="I734" s="1452">
        <v>0</v>
      </c>
      <c r="J734" s="1452">
        <v>0</v>
      </c>
      <c r="K734" s="1455"/>
      <c r="L734" s="1455"/>
      <c r="M734" s="1455">
        <f t="shared" si="150"/>
        <v>0</v>
      </c>
      <c r="N734" s="1455">
        <f t="shared" si="147"/>
        <v>0</v>
      </c>
      <c r="O734" s="1453">
        <f t="shared" si="148"/>
        <v>0</v>
      </c>
      <c r="P734" s="1328">
        <f t="shared" si="149"/>
        <v>0</v>
      </c>
    </row>
    <row r="735" spans="1:16" ht="31" hidden="1" customHeight="1" outlineLevel="1" thickBot="1" x14ac:dyDescent="0.3">
      <c r="A735" s="1406" t="str">
        <f t="shared" si="155"/>
        <v>HO
DPR 7</v>
      </c>
      <c r="B735" s="1407" t="str">
        <f t="shared" si="155"/>
        <v>Installation of Real Time Online Coal-Ash Analyzer at various TPS</v>
      </c>
      <c r="C735" s="1406" t="str">
        <f t="shared" si="155"/>
        <v>MERC/CAPEX/20162017/00774</v>
      </c>
      <c r="D735" s="1451">
        <f t="shared" si="155"/>
        <v>42643</v>
      </c>
      <c r="E735" s="1452">
        <f t="shared" si="155"/>
        <v>0</v>
      </c>
      <c r="F735" s="1452">
        <f t="shared" si="143"/>
        <v>0</v>
      </c>
      <c r="G735" s="1452">
        <f t="shared" si="144"/>
        <v>0</v>
      </c>
      <c r="H735" s="1452">
        <f t="shared" si="145"/>
        <v>0</v>
      </c>
      <c r="I735" s="1452">
        <v>0</v>
      </c>
      <c r="J735" s="1452">
        <v>0</v>
      </c>
      <c r="K735" s="1458"/>
      <c r="L735" s="1458"/>
      <c r="M735" s="1458">
        <f t="shared" si="150"/>
        <v>0</v>
      </c>
      <c r="N735" s="1458">
        <f t="shared" si="147"/>
        <v>0</v>
      </c>
      <c r="O735" s="1453">
        <f t="shared" si="148"/>
        <v>0</v>
      </c>
      <c r="P735" s="1328">
        <f t="shared" si="149"/>
        <v>0</v>
      </c>
    </row>
    <row r="736" spans="1:16" ht="31" hidden="1" customHeight="1" outlineLevel="1" thickBot="1" x14ac:dyDescent="0.4">
      <c r="A736" s="1416" t="str">
        <f t="shared" si="155"/>
        <v>HO
DPR 7.1</v>
      </c>
      <c r="B736" s="1422" t="str">
        <f t="shared" si="155"/>
        <v>Bhusawal: Unit 2-3</v>
      </c>
      <c r="C736" s="1416" t="str">
        <f t="shared" si="155"/>
        <v>MERC/CAPEX/20162017/00774</v>
      </c>
      <c r="D736" s="1459">
        <f t="shared" si="155"/>
        <v>42643</v>
      </c>
      <c r="E736" s="1455">
        <f t="shared" si="155"/>
        <v>0</v>
      </c>
      <c r="F736" s="1452">
        <f t="shared" si="143"/>
        <v>0</v>
      </c>
      <c r="G736" s="1452">
        <f t="shared" si="144"/>
        <v>0</v>
      </c>
      <c r="H736" s="1452">
        <f t="shared" si="145"/>
        <v>0</v>
      </c>
      <c r="I736" s="1452">
        <v>0</v>
      </c>
      <c r="J736" s="1452">
        <v>0</v>
      </c>
      <c r="K736" s="1455"/>
      <c r="L736" s="1455"/>
      <c r="M736" s="1455">
        <f t="shared" si="150"/>
        <v>0</v>
      </c>
      <c r="N736" s="1455">
        <f t="shared" si="147"/>
        <v>0</v>
      </c>
      <c r="O736" s="1453">
        <f t="shared" si="148"/>
        <v>0</v>
      </c>
      <c r="P736" s="1328">
        <f t="shared" si="149"/>
        <v>0</v>
      </c>
    </row>
    <row r="737" spans="1:14" ht="31" hidden="1" customHeight="1" outlineLevel="1" thickBot="1" x14ac:dyDescent="0.3">
      <c r="A737" s="1424" t="str">
        <f t="shared" si="155"/>
        <v>HO
DPR 13</v>
      </c>
      <c r="B737" s="1425" t="str">
        <f t="shared" si="155"/>
        <v>Construction of new Administrative Building for Mahagenco at Vidyut Bhawan, Katol Road, Nagpur</v>
      </c>
      <c r="C737" s="1460" t="str">
        <f t="shared" si="155"/>
        <v>MERC/CAPEX/2021-2022/MSPGCL/063</v>
      </c>
      <c r="D737" s="1461">
        <f t="shared" si="155"/>
        <v>44604</v>
      </c>
      <c r="E737" s="1462">
        <f t="shared" si="155"/>
        <v>57</v>
      </c>
      <c r="F737" s="302">
        <f t="shared" si="143"/>
        <v>0</v>
      </c>
      <c r="G737" s="302">
        <f t="shared" si="144"/>
        <v>0</v>
      </c>
      <c r="H737" s="302">
        <f t="shared" si="145"/>
        <v>0</v>
      </c>
      <c r="I737" s="1462">
        <v>0</v>
      </c>
      <c r="J737" s="1462">
        <v>0</v>
      </c>
      <c r="K737" s="302"/>
      <c r="L737" s="302"/>
      <c r="M737" s="302">
        <f t="shared" ref="M737:M764" si="156">SUM(J737:L737)</f>
        <v>0</v>
      </c>
      <c r="N737" s="302">
        <f t="shared" si="147"/>
        <v>0</v>
      </c>
    </row>
    <row r="738" spans="1:14" ht="46.5" hidden="1" customHeight="1" outlineLevel="1" thickBot="1" x14ac:dyDescent="0.3">
      <c r="A738" s="1430" t="str">
        <f t="shared" si="155"/>
        <v>HO
DPR 13.1</v>
      </c>
      <c r="B738" s="1431" t="str">
        <f t="shared" si="155"/>
        <v>Construction of new Administrative Building for Mahagenco at Vidyut Bhawan, Katol Road, Nagpur</v>
      </c>
      <c r="C738" s="1427" t="str">
        <f t="shared" si="155"/>
        <v>MERC/CAPEX/2021-2022/MSPGCL/063</v>
      </c>
      <c r="D738" s="1464">
        <f t="shared" si="155"/>
        <v>44604</v>
      </c>
      <c r="E738" s="1465">
        <f t="shared" si="155"/>
        <v>54.24</v>
      </c>
      <c r="F738" s="302">
        <f t="shared" si="143"/>
        <v>0</v>
      </c>
      <c r="G738" s="302">
        <f t="shared" si="144"/>
        <v>0</v>
      </c>
      <c r="H738" s="302">
        <f t="shared" si="145"/>
        <v>0</v>
      </c>
      <c r="I738" s="1462">
        <v>0</v>
      </c>
      <c r="J738" s="1462">
        <v>0</v>
      </c>
      <c r="K738" s="302"/>
      <c r="L738" s="302"/>
      <c r="M738" s="302">
        <f t="shared" si="156"/>
        <v>0</v>
      </c>
      <c r="N738" s="302">
        <f t="shared" si="147"/>
        <v>0</v>
      </c>
    </row>
    <row r="739" spans="1:14" ht="31" hidden="1" customHeight="1" outlineLevel="1" thickBot="1" x14ac:dyDescent="0.3">
      <c r="A739" s="1433">
        <f t="shared" si="155"/>
        <v>0</v>
      </c>
      <c r="B739" s="1431" t="str">
        <f t="shared" si="155"/>
        <v>IDC</v>
      </c>
      <c r="C739" s="1427" t="str">
        <f t="shared" si="155"/>
        <v>MERC/CAPEX/2021-2022/MSPGCL/063</v>
      </c>
      <c r="D739" s="1464">
        <f t="shared" si="155"/>
        <v>44604</v>
      </c>
      <c r="E739" s="1465">
        <f t="shared" si="155"/>
        <v>2.76</v>
      </c>
      <c r="F739" s="302">
        <f t="shared" ref="F739:F764" si="157">F644+I644</f>
        <v>0</v>
      </c>
      <c r="G739" s="302">
        <f t="shared" ref="G739:G764" si="158">G644+M644</f>
        <v>0</v>
      </c>
      <c r="H739" s="302">
        <f t="shared" ref="H739:H764" si="159">F739-G739</f>
        <v>0</v>
      </c>
      <c r="I739" s="1462">
        <v>0</v>
      </c>
      <c r="J739" s="1462">
        <v>0</v>
      </c>
      <c r="K739" s="302"/>
      <c r="L739" s="302"/>
      <c r="M739" s="302">
        <f t="shared" si="156"/>
        <v>0</v>
      </c>
      <c r="N739" s="302">
        <f t="shared" ref="N739:N764" si="160">H739+I739-M739</f>
        <v>0</v>
      </c>
    </row>
    <row r="740" spans="1:14" ht="31" hidden="1" customHeight="1" outlineLevel="1" thickBot="1" x14ac:dyDescent="0.3">
      <c r="A740" s="1424" t="str">
        <f t="shared" si="155"/>
        <v>HO
DPR 16</v>
      </c>
      <c r="B740" s="1425" t="str">
        <f t="shared" si="155"/>
        <v>Centralized Monitoring Solution</v>
      </c>
      <c r="C740" s="1460" t="str">
        <f t="shared" si="155"/>
        <v>MERC/CAPEX/MSPGCL/2023-24/0576</v>
      </c>
      <c r="D740" s="1461">
        <f t="shared" si="155"/>
        <v>45232</v>
      </c>
      <c r="E740" s="1462">
        <f t="shared" si="155"/>
        <v>69.308999999999997</v>
      </c>
      <c r="F740" s="302">
        <f t="shared" si="157"/>
        <v>0</v>
      </c>
      <c r="G740" s="302">
        <f t="shared" si="158"/>
        <v>0</v>
      </c>
      <c r="H740" s="302">
        <f t="shared" si="159"/>
        <v>0</v>
      </c>
      <c r="I740" s="1462">
        <v>0</v>
      </c>
      <c r="J740" s="1462">
        <v>0</v>
      </c>
      <c r="K740" s="302"/>
      <c r="L740" s="302"/>
      <c r="M740" s="302">
        <f t="shared" si="156"/>
        <v>0</v>
      </c>
      <c r="N740" s="302">
        <f t="shared" si="160"/>
        <v>0</v>
      </c>
    </row>
    <row r="741" spans="1:14" ht="46.5" hidden="1" customHeight="1" outlineLevel="1" thickBot="1" x14ac:dyDescent="0.3">
      <c r="A741" s="1430" t="str">
        <f t="shared" si="155"/>
        <v>HO
DPR 16.1</v>
      </c>
      <c r="B741" s="1431" t="str">
        <f t="shared" si="155"/>
        <v>Centralized Monitoring Solution</v>
      </c>
      <c r="C741" s="1427" t="str">
        <f t="shared" si="155"/>
        <v>MERC/CAPEX/MSPGCL/2023-24/0576</v>
      </c>
      <c r="D741" s="1464">
        <f t="shared" si="155"/>
        <v>45232</v>
      </c>
      <c r="E741" s="1465">
        <f t="shared" si="155"/>
        <v>66.009</v>
      </c>
      <c r="F741" s="302">
        <f t="shared" si="157"/>
        <v>0</v>
      </c>
      <c r="G741" s="302">
        <f t="shared" si="158"/>
        <v>0</v>
      </c>
      <c r="H741" s="302">
        <f t="shared" si="159"/>
        <v>0</v>
      </c>
      <c r="I741" s="1462">
        <v>0</v>
      </c>
      <c r="J741" s="1462">
        <v>0</v>
      </c>
      <c r="K741" s="302"/>
      <c r="L741" s="302"/>
      <c r="M741" s="302">
        <f t="shared" si="156"/>
        <v>0</v>
      </c>
      <c r="N741" s="302">
        <f t="shared" si="160"/>
        <v>0</v>
      </c>
    </row>
    <row r="742" spans="1:14" ht="31" hidden="1" customHeight="1" outlineLevel="1" thickBot="1" x14ac:dyDescent="0.3">
      <c r="A742" s="1433"/>
      <c r="B742" s="1431" t="str">
        <f t="shared" si="155"/>
        <v>IDC</v>
      </c>
      <c r="C742" s="1427" t="str">
        <f t="shared" si="155"/>
        <v>MERC/CAPEX/MSPGCL/2023-24/0576</v>
      </c>
      <c r="D742" s="1464">
        <f t="shared" si="155"/>
        <v>45232</v>
      </c>
      <c r="E742" s="1465">
        <f t="shared" si="155"/>
        <v>3.3</v>
      </c>
      <c r="F742" s="302">
        <f t="shared" si="157"/>
        <v>0</v>
      </c>
      <c r="G742" s="302">
        <f t="shared" si="158"/>
        <v>0</v>
      </c>
      <c r="H742" s="302">
        <f t="shared" si="159"/>
        <v>0</v>
      </c>
      <c r="I742" s="1462">
        <v>0</v>
      </c>
      <c r="J742" s="1462">
        <v>0</v>
      </c>
      <c r="K742" s="302"/>
      <c r="L742" s="302"/>
      <c r="M742" s="302">
        <f t="shared" si="156"/>
        <v>0</v>
      </c>
      <c r="N742" s="302">
        <f t="shared" si="160"/>
        <v>0</v>
      </c>
    </row>
    <row r="743" spans="1:14" ht="15.5" hidden="1" customHeight="1" outlineLevel="1" thickBot="1" x14ac:dyDescent="0.3">
      <c r="A743" s="1433"/>
      <c r="B743" s="1431">
        <f t="shared" si="155"/>
        <v>0</v>
      </c>
      <c r="C743" s="1427">
        <f t="shared" si="155"/>
        <v>0</v>
      </c>
      <c r="D743" s="1464">
        <f t="shared" si="155"/>
        <v>0</v>
      </c>
      <c r="E743" s="1465">
        <f t="shared" si="155"/>
        <v>0</v>
      </c>
      <c r="F743" s="302">
        <f t="shared" si="157"/>
        <v>0</v>
      </c>
      <c r="G743" s="302">
        <f t="shared" si="158"/>
        <v>0</v>
      </c>
      <c r="H743" s="302">
        <f t="shared" si="159"/>
        <v>0</v>
      </c>
      <c r="I743" s="1462">
        <v>0</v>
      </c>
      <c r="J743" s="1462">
        <v>0</v>
      </c>
      <c r="K743" s="302"/>
      <c r="L743" s="302"/>
      <c r="M743" s="302">
        <f t="shared" si="156"/>
        <v>0</v>
      </c>
      <c r="N743" s="302">
        <f t="shared" si="160"/>
        <v>0</v>
      </c>
    </row>
    <row r="744" spans="1:14" ht="15.5" hidden="1" customHeight="1" outlineLevel="1" thickBot="1" x14ac:dyDescent="0.3">
      <c r="A744" s="1433"/>
      <c r="B744" s="1431">
        <f t="shared" si="155"/>
        <v>0</v>
      </c>
      <c r="C744" s="1427">
        <f t="shared" si="155"/>
        <v>0</v>
      </c>
      <c r="D744" s="1464">
        <f t="shared" si="155"/>
        <v>0</v>
      </c>
      <c r="E744" s="1465">
        <f t="shared" si="155"/>
        <v>0</v>
      </c>
      <c r="F744" s="302">
        <f t="shared" si="157"/>
        <v>0</v>
      </c>
      <c r="G744" s="302">
        <f t="shared" si="158"/>
        <v>0</v>
      </c>
      <c r="H744" s="302">
        <f t="shared" si="159"/>
        <v>0</v>
      </c>
      <c r="I744" s="1462">
        <v>0</v>
      </c>
      <c r="J744" s="1462">
        <v>0</v>
      </c>
      <c r="K744" s="302"/>
      <c r="L744" s="302"/>
      <c r="M744" s="302">
        <f t="shared" si="156"/>
        <v>0</v>
      </c>
      <c r="N744" s="302">
        <f t="shared" si="160"/>
        <v>0</v>
      </c>
    </row>
    <row r="745" spans="1:14" ht="15.5" hidden="1" customHeight="1" outlineLevel="1" thickBot="1" x14ac:dyDescent="0.3">
      <c r="A745" s="1280"/>
      <c r="B745" s="1329" t="str">
        <f t="shared" si="155"/>
        <v>(ii) Submitted to MERC but yet to be approved</v>
      </c>
      <c r="C745" s="1460">
        <f t="shared" si="155"/>
        <v>0</v>
      </c>
      <c r="D745" s="1464">
        <f t="shared" si="155"/>
        <v>0</v>
      </c>
      <c r="E745" s="1465">
        <f t="shared" si="155"/>
        <v>0</v>
      </c>
      <c r="F745" s="302">
        <f t="shared" si="157"/>
        <v>0</v>
      </c>
      <c r="G745" s="302">
        <f t="shared" si="158"/>
        <v>0</v>
      </c>
      <c r="H745" s="302">
        <f t="shared" si="159"/>
        <v>0</v>
      </c>
      <c r="I745" s="1462">
        <v>0</v>
      </c>
      <c r="J745" s="1462">
        <v>0</v>
      </c>
      <c r="K745" s="302"/>
      <c r="L745" s="302"/>
      <c r="M745" s="302">
        <f t="shared" si="156"/>
        <v>0</v>
      </c>
      <c r="N745" s="302">
        <f t="shared" si="160"/>
        <v>0</v>
      </c>
    </row>
    <row r="746" spans="1:14" ht="15.5" hidden="1" customHeight="1" outlineLevel="1" thickBot="1" x14ac:dyDescent="0.3">
      <c r="A746" s="1280"/>
      <c r="B746" s="1282">
        <f t="shared" si="155"/>
        <v>0</v>
      </c>
      <c r="C746" s="1427">
        <f t="shared" si="155"/>
        <v>0</v>
      </c>
      <c r="D746" s="1464">
        <f t="shared" si="155"/>
        <v>0</v>
      </c>
      <c r="E746" s="1465">
        <f t="shared" si="155"/>
        <v>0</v>
      </c>
      <c r="F746" s="302">
        <f t="shared" si="157"/>
        <v>0</v>
      </c>
      <c r="G746" s="302">
        <f t="shared" si="158"/>
        <v>0</v>
      </c>
      <c r="H746" s="302">
        <f t="shared" si="159"/>
        <v>0</v>
      </c>
      <c r="I746" s="1462">
        <v>0</v>
      </c>
      <c r="J746" s="1462">
        <v>0</v>
      </c>
      <c r="K746" s="302"/>
      <c r="L746" s="302"/>
      <c r="M746" s="302">
        <f t="shared" si="156"/>
        <v>0</v>
      </c>
      <c r="N746" s="302">
        <f t="shared" si="160"/>
        <v>0</v>
      </c>
    </row>
    <row r="747" spans="1:14" ht="15.5" hidden="1" customHeight="1" outlineLevel="1" thickBot="1" x14ac:dyDescent="0.3">
      <c r="A747" s="1301"/>
      <c r="B747" s="1329" t="str">
        <f t="shared" ref="B747:E752" si="161">B652</f>
        <v>(iii) Yet to be submitted to MERC</v>
      </c>
      <c r="C747" s="1460">
        <f t="shared" si="161"/>
        <v>0</v>
      </c>
      <c r="D747" s="1464">
        <f t="shared" si="161"/>
        <v>0</v>
      </c>
      <c r="E747" s="1465">
        <f t="shared" si="161"/>
        <v>0</v>
      </c>
      <c r="F747" s="302">
        <f t="shared" si="157"/>
        <v>0</v>
      </c>
      <c r="G747" s="302">
        <f t="shared" si="158"/>
        <v>0</v>
      </c>
      <c r="H747" s="302">
        <f t="shared" si="159"/>
        <v>0</v>
      </c>
      <c r="I747" s="1462">
        <v>0</v>
      </c>
      <c r="J747" s="1462">
        <v>0</v>
      </c>
      <c r="K747" s="302"/>
      <c r="L747" s="302"/>
      <c r="M747" s="302">
        <f t="shared" si="156"/>
        <v>0</v>
      </c>
      <c r="N747" s="302">
        <f t="shared" si="160"/>
        <v>0</v>
      </c>
    </row>
    <row r="748" spans="1:14" ht="18" hidden="1" customHeight="1" outlineLevel="1" thickBot="1" x14ac:dyDescent="0.3">
      <c r="A748" s="1304"/>
      <c r="B748" s="1305" t="str">
        <f t="shared" si="161"/>
        <v>FY 2026-27</v>
      </c>
      <c r="C748" s="1460">
        <f t="shared" si="161"/>
        <v>0</v>
      </c>
      <c r="D748" s="1464">
        <f t="shared" si="161"/>
        <v>0</v>
      </c>
      <c r="E748" s="1465">
        <f t="shared" si="161"/>
        <v>0</v>
      </c>
      <c r="F748" s="302">
        <f t="shared" si="157"/>
        <v>0</v>
      </c>
      <c r="G748" s="302">
        <f t="shared" si="158"/>
        <v>0</v>
      </c>
      <c r="H748" s="302">
        <f t="shared" si="159"/>
        <v>0</v>
      </c>
      <c r="I748" s="1462">
        <v>0</v>
      </c>
      <c r="J748" s="1462">
        <v>0</v>
      </c>
      <c r="K748" s="302"/>
      <c r="L748" s="302"/>
      <c r="M748" s="302">
        <f t="shared" si="156"/>
        <v>0</v>
      </c>
      <c r="N748" s="302">
        <f t="shared" si="160"/>
        <v>0</v>
      </c>
    </row>
    <row r="749" spans="1:14" ht="31" hidden="1" customHeight="1" outlineLevel="1" thickBot="1" x14ac:dyDescent="0.3">
      <c r="A749" s="1308">
        <f>A654</f>
        <v>1</v>
      </c>
      <c r="B749" s="1425" t="str">
        <f t="shared" si="161"/>
        <v>R&amp;M/LE for Identified Thermal units of MSPGCL  of BTPS U-3 (210 MW)</v>
      </c>
      <c r="C749" s="1460">
        <f t="shared" si="161"/>
        <v>0</v>
      </c>
      <c r="D749" s="1464">
        <f t="shared" si="161"/>
        <v>0</v>
      </c>
      <c r="E749" s="1465">
        <f t="shared" si="161"/>
        <v>0</v>
      </c>
      <c r="F749" s="302">
        <f t="shared" si="157"/>
        <v>0</v>
      </c>
      <c r="G749" s="302">
        <f t="shared" si="158"/>
        <v>0</v>
      </c>
      <c r="H749" s="302">
        <f t="shared" si="159"/>
        <v>0</v>
      </c>
      <c r="I749" s="1462">
        <v>0</v>
      </c>
      <c r="J749" s="1462">
        <v>0</v>
      </c>
      <c r="K749" s="302"/>
      <c r="L749" s="302"/>
      <c r="M749" s="302">
        <f t="shared" si="156"/>
        <v>0</v>
      </c>
      <c r="N749" s="302">
        <f t="shared" si="160"/>
        <v>0</v>
      </c>
    </row>
    <row r="750" spans="1:14" ht="31" hidden="1" customHeight="1" outlineLevel="1" thickBot="1" x14ac:dyDescent="0.3">
      <c r="A750" s="1313">
        <f>A655</f>
        <v>1.1000000000000001</v>
      </c>
      <c r="B750" s="1431" t="str">
        <f t="shared" si="161"/>
        <v>R&amp;M/LE for Identified Thermal units of MSPGCL  of BTPS U-3 (210 MW)</v>
      </c>
      <c r="C750" s="1460">
        <f t="shared" si="161"/>
        <v>0</v>
      </c>
      <c r="D750" s="1464">
        <f t="shared" si="161"/>
        <v>0</v>
      </c>
      <c r="E750" s="1465">
        <f t="shared" si="161"/>
        <v>0</v>
      </c>
      <c r="F750" s="302">
        <f t="shared" si="157"/>
        <v>398</v>
      </c>
      <c r="G750" s="302">
        <f t="shared" si="158"/>
        <v>398</v>
      </c>
      <c r="H750" s="302">
        <f t="shared" si="159"/>
        <v>0</v>
      </c>
      <c r="I750" s="1462">
        <v>0</v>
      </c>
      <c r="J750" s="1462">
        <v>0</v>
      </c>
      <c r="K750" s="302"/>
      <c r="L750" s="302"/>
      <c r="M750" s="302">
        <f t="shared" si="156"/>
        <v>0</v>
      </c>
      <c r="N750" s="302">
        <f t="shared" si="160"/>
        <v>0</v>
      </c>
    </row>
    <row r="751" spans="1:14" ht="15.5" hidden="1" customHeight="1" outlineLevel="1" thickBot="1" x14ac:dyDescent="0.35">
      <c r="A751" s="1301"/>
      <c r="B751" s="265">
        <f t="shared" si="161"/>
        <v>0</v>
      </c>
      <c r="C751" s="1460">
        <f t="shared" si="161"/>
        <v>0</v>
      </c>
      <c r="D751" s="1464">
        <f t="shared" si="161"/>
        <v>0</v>
      </c>
      <c r="E751" s="1465">
        <f t="shared" si="161"/>
        <v>0</v>
      </c>
      <c r="F751" s="302">
        <f t="shared" si="157"/>
        <v>0</v>
      </c>
      <c r="G751" s="302">
        <f t="shared" si="158"/>
        <v>0</v>
      </c>
      <c r="H751" s="302">
        <f t="shared" si="159"/>
        <v>0</v>
      </c>
      <c r="I751" s="1462">
        <v>0</v>
      </c>
      <c r="J751" s="1462">
        <v>0</v>
      </c>
      <c r="K751" s="302"/>
      <c r="L751" s="302"/>
      <c r="M751" s="302">
        <f t="shared" si="156"/>
        <v>0</v>
      </c>
      <c r="N751" s="302">
        <f t="shared" si="160"/>
        <v>0</v>
      </c>
    </row>
    <row r="752" spans="1:14" ht="15.5" hidden="1" customHeight="1" outlineLevel="1" thickBot="1" x14ac:dyDescent="0.35">
      <c r="A752" s="1301"/>
      <c r="B752" s="528" t="str">
        <f t="shared" si="161"/>
        <v>B) Non-DPR Schemes</v>
      </c>
      <c r="C752" s="1427">
        <f t="shared" si="161"/>
        <v>0</v>
      </c>
      <c r="D752" s="1464">
        <f t="shared" si="161"/>
        <v>0</v>
      </c>
      <c r="E752" s="1465">
        <f t="shared" si="161"/>
        <v>0</v>
      </c>
      <c r="F752" s="315">
        <f t="shared" si="157"/>
        <v>0</v>
      </c>
      <c r="G752" s="315">
        <f t="shared" si="158"/>
        <v>0</v>
      </c>
      <c r="H752" s="315">
        <f t="shared" si="159"/>
        <v>0</v>
      </c>
      <c r="I752" s="1462">
        <v>0</v>
      </c>
      <c r="J752" s="1462">
        <v>0</v>
      </c>
      <c r="K752" s="315"/>
      <c r="L752" s="315"/>
      <c r="M752" s="315">
        <f t="shared" si="156"/>
        <v>0</v>
      </c>
      <c r="N752" s="315">
        <f t="shared" si="160"/>
        <v>0</v>
      </c>
    </row>
    <row r="753" spans="1:14" ht="28" hidden="1" customHeight="1" outlineLevel="1" thickBot="1" x14ac:dyDescent="0.35">
      <c r="A753" s="1301">
        <f t="shared" ref="A753:E764" si="162">A658</f>
        <v>1</v>
      </c>
      <c r="B753" s="1315" t="str">
        <f t="shared" si="162"/>
        <v>Design, Supply and Installation for capacity enhancement of conveyor No. 08 at CHP210MW, BTPS.</v>
      </c>
      <c r="C753" s="1427">
        <f t="shared" si="162"/>
        <v>0</v>
      </c>
      <c r="D753" s="1464">
        <f t="shared" si="162"/>
        <v>0</v>
      </c>
      <c r="E753" s="1465">
        <f t="shared" si="162"/>
        <v>0</v>
      </c>
      <c r="F753" s="315">
        <f t="shared" si="157"/>
        <v>1.80009</v>
      </c>
      <c r="G753" s="315">
        <f t="shared" si="158"/>
        <v>1.80009</v>
      </c>
      <c r="H753" s="315">
        <f t="shared" si="159"/>
        <v>0</v>
      </c>
      <c r="I753" s="1462">
        <v>0</v>
      </c>
      <c r="J753" s="1462">
        <v>0</v>
      </c>
      <c r="K753" s="315"/>
      <c r="L753" s="315"/>
      <c r="M753" s="315">
        <f t="shared" si="156"/>
        <v>0</v>
      </c>
      <c r="N753" s="315">
        <f t="shared" si="160"/>
        <v>0</v>
      </c>
    </row>
    <row r="754" spans="1:14" ht="15.5" hidden="1" customHeight="1" outlineLevel="1" thickBot="1" x14ac:dyDescent="0.35">
      <c r="A754" s="1301">
        <f t="shared" si="162"/>
        <v>2</v>
      </c>
      <c r="B754" s="265" t="str">
        <f t="shared" si="162"/>
        <v>SPEAKER &amp; PTZ CAMER</v>
      </c>
      <c r="C754" s="1427">
        <f t="shared" si="162"/>
        <v>0</v>
      </c>
      <c r="D754" s="1464">
        <f t="shared" si="162"/>
        <v>0</v>
      </c>
      <c r="E754" s="1465">
        <f t="shared" si="162"/>
        <v>0</v>
      </c>
      <c r="F754" s="315">
        <f t="shared" si="157"/>
        <v>3.1968099999999999E-2</v>
      </c>
      <c r="G754" s="315">
        <f t="shared" si="158"/>
        <v>3.1968099999999999E-2</v>
      </c>
      <c r="H754" s="315">
        <f t="shared" si="159"/>
        <v>0</v>
      </c>
      <c r="I754" s="1462">
        <v>0</v>
      </c>
      <c r="J754" s="1462">
        <v>0</v>
      </c>
      <c r="K754" s="315"/>
      <c r="L754" s="315"/>
      <c r="M754" s="315">
        <f t="shared" si="156"/>
        <v>0</v>
      </c>
      <c r="N754" s="315">
        <f t="shared" si="160"/>
        <v>0</v>
      </c>
    </row>
    <row r="755" spans="1:14" ht="15.5" hidden="1" customHeight="1" outlineLevel="1" thickBot="1" x14ac:dyDescent="0.35">
      <c r="A755" s="1301">
        <f t="shared" si="162"/>
        <v>3</v>
      </c>
      <c r="B755" s="265" t="str">
        <f t="shared" si="162"/>
        <v>50 INCH TV &amp; 2TN AC</v>
      </c>
      <c r="C755" s="1427">
        <f t="shared" si="162"/>
        <v>0</v>
      </c>
      <c r="D755" s="1464">
        <f t="shared" si="162"/>
        <v>0</v>
      </c>
      <c r="E755" s="1465">
        <f t="shared" si="162"/>
        <v>0</v>
      </c>
      <c r="F755" s="315">
        <f t="shared" si="157"/>
        <v>6.4529699999999995E-2</v>
      </c>
      <c r="G755" s="315">
        <f t="shared" si="158"/>
        <v>6.4529699999999995E-2</v>
      </c>
      <c r="H755" s="315">
        <f t="shared" si="159"/>
        <v>0</v>
      </c>
      <c r="I755" s="1462">
        <v>0</v>
      </c>
      <c r="J755" s="1462">
        <v>0</v>
      </c>
      <c r="K755" s="315"/>
      <c r="L755" s="315"/>
      <c r="M755" s="315">
        <f t="shared" si="156"/>
        <v>0</v>
      </c>
      <c r="N755" s="315">
        <f t="shared" si="160"/>
        <v>0</v>
      </c>
    </row>
    <row r="756" spans="1:14" ht="15.5" hidden="1" customHeight="1" outlineLevel="1" thickBot="1" x14ac:dyDescent="0.35">
      <c r="A756" s="1301">
        <f t="shared" si="162"/>
        <v>4</v>
      </c>
      <c r="B756" s="817" t="str">
        <f t="shared" si="162"/>
        <v>Fixtures &amp; Fitting (10801)</v>
      </c>
      <c r="C756" s="1427">
        <f t="shared" si="162"/>
        <v>0</v>
      </c>
      <c r="D756" s="1464">
        <f t="shared" si="162"/>
        <v>0</v>
      </c>
      <c r="E756" s="1465">
        <f t="shared" si="162"/>
        <v>0</v>
      </c>
      <c r="F756" s="315">
        <f t="shared" si="157"/>
        <v>2.2089600000000001E-2</v>
      </c>
      <c r="G756" s="315">
        <f t="shared" si="158"/>
        <v>2.2089600000000001E-2</v>
      </c>
      <c r="H756" s="315">
        <f t="shared" si="159"/>
        <v>0</v>
      </c>
      <c r="I756" s="1462">
        <v>0</v>
      </c>
      <c r="J756" s="1462">
        <v>0</v>
      </c>
      <c r="K756" s="315"/>
      <c r="L756" s="315"/>
      <c r="M756" s="315">
        <f t="shared" si="156"/>
        <v>0</v>
      </c>
      <c r="N756" s="315">
        <f t="shared" si="160"/>
        <v>0</v>
      </c>
    </row>
    <row r="757" spans="1:14" ht="15.5" hidden="1" customHeight="1" outlineLevel="1" thickBot="1" x14ac:dyDescent="0.35">
      <c r="A757" s="1301">
        <f t="shared" si="162"/>
        <v>5</v>
      </c>
      <c r="B757" s="817" t="str">
        <f t="shared" si="162"/>
        <v>Office equpment (10901)</v>
      </c>
      <c r="C757" s="1427">
        <f t="shared" si="162"/>
        <v>0</v>
      </c>
      <c r="D757" s="1464">
        <f t="shared" si="162"/>
        <v>0</v>
      </c>
      <c r="E757" s="1465">
        <f t="shared" si="162"/>
        <v>0</v>
      </c>
      <c r="F757" s="315">
        <f t="shared" si="157"/>
        <v>0.60696666700000002</v>
      </c>
      <c r="G757" s="315">
        <f t="shared" si="158"/>
        <v>0.60696666700000002</v>
      </c>
      <c r="H757" s="315">
        <f t="shared" si="159"/>
        <v>0</v>
      </c>
      <c r="I757" s="1462">
        <v>0</v>
      </c>
      <c r="J757" s="1462">
        <v>0</v>
      </c>
      <c r="K757" s="315"/>
      <c r="L757" s="315"/>
      <c r="M757" s="315">
        <f t="shared" si="156"/>
        <v>0</v>
      </c>
      <c r="N757" s="315">
        <f t="shared" si="160"/>
        <v>0</v>
      </c>
    </row>
    <row r="758" spans="1:14" ht="15.5" hidden="1" customHeight="1" outlineLevel="1" thickBot="1" x14ac:dyDescent="0.35">
      <c r="A758" s="1301">
        <f t="shared" si="162"/>
        <v>6</v>
      </c>
      <c r="B758" s="265" t="str">
        <f t="shared" si="162"/>
        <v>Gearboxes for CHP Elecon Make</v>
      </c>
      <c r="C758" s="1427">
        <f t="shared" si="162"/>
        <v>0</v>
      </c>
      <c r="D758" s="1464">
        <f t="shared" si="162"/>
        <v>0</v>
      </c>
      <c r="E758" s="1465">
        <f t="shared" si="162"/>
        <v>0</v>
      </c>
      <c r="F758" s="315">
        <f t="shared" si="157"/>
        <v>0.345735079</v>
      </c>
      <c r="G758" s="315">
        <f t="shared" si="158"/>
        <v>0.345735079</v>
      </c>
      <c r="H758" s="315">
        <f t="shared" si="159"/>
        <v>0</v>
      </c>
      <c r="I758" s="1462">
        <v>0</v>
      </c>
      <c r="J758" s="1462">
        <v>0</v>
      </c>
      <c r="K758" s="315"/>
      <c r="L758" s="315"/>
      <c r="M758" s="315">
        <f t="shared" si="156"/>
        <v>0</v>
      </c>
      <c r="N758" s="315">
        <f t="shared" si="160"/>
        <v>0</v>
      </c>
    </row>
    <row r="759" spans="1:14" ht="15.5" hidden="1" customHeight="1" outlineLevel="1" thickBot="1" x14ac:dyDescent="0.4">
      <c r="A759" s="1301">
        <f t="shared" si="162"/>
        <v>7</v>
      </c>
      <c r="B759" s="1319" t="str">
        <f t="shared" si="162"/>
        <v>General Assets</v>
      </c>
      <c r="C759" s="1427">
        <f t="shared" si="162"/>
        <v>0</v>
      </c>
      <c r="D759" s="1464">
        <f t="shared" si="162"/>
        <v>0</v>
      </c>
      <c r="E759" s="1465">
        <f t="shared" si="162"/>
        <v>0</v>
      </c>
      <c r="F759" s="315">
        <f t="shared" si="157"/>
        <v>0</v>
      </c>
      <c r="G759" s="315">
        <f t="shared" si="158"/>
        <v>0</v>
      </c>
      <c r="H759" s="315">
        <f t="shared" si="159"/>
        <v>0</v>
      </c>
      <c r="I759" s="1462">
        <v>0</v>
      </c>
      <c r="J759" s="1462">
        <v>0</v>
      </c>
      <c r="K759" s="315"/>
      <c r="L759" s="315"/>
      <c r="M759" s="315">
        <f t="shared" si="156"/>
        <v>0</v>
      </c>
      <c r="N759" s="315">
        <f t="shared" si="160"/>
        <v>0</v>
      </c>
    </row>
    <row r="760" spans="1:14" ht="15.5" hidden="1" customHeight="1" outlineLevel="1" thickBot="1" x14ac:dyDescent="0.4">
      <c r="A760" s="1301">
        <f t="shared" si="162"/>
        <v>8</v>
      </c>
      <c r="B760" s="1319" t="str">
        <f t="shared" si="162"/>
        <v>Furniture &amp; Fixture</v>
      </c>
      <c r="C760" s="1427">
        <f t="shared" si="162"/>
        <v>0</v>
      </c>
      <c r="D760" s="1464">
        <f t="shared" si="162"/>
        <v>0</v>
      </c>
      <c r="E760" s="1465">
        <f t="shared" si="162"/>
        <v>0</v>
      </c>
      <c r="F760" s="315">
        <f t="shared" si="157"/>
        <v>3.4999940000000002E-3</v>
      </c>
      <c r="G760" s="315">
        <f t="shared" si="158"/>
        <v>9.3499994000000003E-2</v>
      </c>
      <c r="H760" s="315">
        <f t="shared" si="159"/>
        <v>-0.09</v>
      </c>
      <c r="I760" s="1462">
        <v>0</v>
      </c>
      <c r="J760" s="1462">
        <v>0</v>
      </c>
      <c r="K760" s="315"/>
      <c r="L760" s="315"/>
      <c r="M760" s="315">
        <f t="shared" si="156"/>
        <v>0</v>
      </c>
      <c r="N760" s="315">
        <f t="shared" si="160"/>
        <v>-0.09</v>
      </c>
    </row>
    <row r="761" spans="1:14" ht="15.5" hidden="1" customHeight="1" outlineLevel="1" thickBot="1" x14ac:dyDescent="0.4">
      <c r="A761" s="1301">
        <f t="shared" si="162"/>
        <v>9</v>
      </c>
      <c r="B761" s="1319" t="str">
        <f t="shared" si="162"/>
        <v xml:space="preserve">Office Equipment </v>
      </c>
      <c r="C761" s="1427">
        <f t="shared" si="162"/>
        <v>0</v>
      </c>
      <c r="D761" s="1464">
        <f t="shared" si="162"/>
        <v>0</v>
      </c>
      <c r="E761" s="1465">
        <f t="shared" si="162"/>
        <v>0</v>
      </c>
      <c r="F761" s="315">
        <f t="shared" si="157"/>
        <v>0.258863014</v>
      </c>
      <c r="G761" s="315">
        <f t="shared" si="158"/>
        <v>0.258863014</v>
      </c>
      <c r="H761" s="315">
        <f t="shared" si="159"/>
        <v>0</v>
      </c>
      <c r="I761" s="1462">
        <v>0</v>
      </c>
      <c r="J761" s="1462">
        <v>0</v>
      </c>
      <c r="K761" s="315"/>
      <c r="L761" s="315"/>
      <c r="M761" s="315">
        <f t="shared" si="156"/>
        <v>0</v>
      </c>
      <c r="N761" s="315">
        <f t="shared" si="160"/>
        <v>0</v>
      </c>
    </row>
    <row r="762" spans="1:14" ht="15.5" hidden="1" customHeight="1" outlineLevel="1" thickBot="1" x14ac:dyDescent="0.4">
      <c r="A762" s="1301">
        <f t="shared" si="162"/>
        <v>10</v>
      </c>
      <c r="B762" s="1319" t="str">
        <f t="shared" si="162"/>
        <v>Furniture &amp; Fixture</v>
      </c>
      <c r="C762" s="1427">
        <f t="shared" si="162"/>
        <v>0</v>
      </c>
      <c r="D762" s="1464">
        <f t="shared" si="162"/>
        <v>0</v>
      </c>
      <c r="E762" s="1465">
        <f t="shared" si="162"/>
        <v>0</v>
      </c>
      <c r="F762" s="315">
        <f t="shared" si="157"/>
        <v>0.20719743600000001</v>
      </c>
      <c r="G762" s="315">
        <f t="shared" si="158"/>
        <v>0.20719743600000001</v>
      </c>
      <c r="H762" s="315">
        <f t="shared" si="159"/>
        <v>0</v>
      </c>
      <c r="I762" s="1462">
        <v>0</v>
      </c>
      <c r="J762" s="1462">
        <v>0</v>
      </c>
      <c r="K762" s="315"/>
      <c r="L762" s="315"/>
      <c r="M762" s="315">
        <f t="shared" si="156"/>
        <v>0</v>
      </c>
      <c r="N762" s="315">
        <f t="shared" si="160"/>
        <v>0</v>
      </c>
    </row>
    <row r="763" spans="1:14" s="1334" customFormat="1" ht="15.5" hidden="1" customHeight="1" outlineLevel="1" thickBot="1" x14ac:dyDescent="0.4">
      <c r="A763" s="1301">
        <f t="shared" si="162"/>
        <v>11</v>
      </c>
      <c r="B763" s="1319" t="str">
        <f t="shared" si="162"/>
        <v xml:space="preserve">Office Equipment </v>
      </c>
      <c r="C763" s="1427">
        <f t="shared" si="162"/>
        <v>0</v>
      </c>
      <c r="D763" s="1464">
        <f t="shared" si="162"/>
        <v>0</v>
      </c>
      <c r="E763" s="1465">
        <f t="shared" si="162"/>
        <v>0</v>
      </c>
      <c r="F763" s="315">
        <f t="shared" si="157"/>
        <v>6.3896999999999999E-3</v>
      </c>
      <c r="G763" s="315">
        <f t="shared" si="158"/>
        <v>6.3896999999999999E-3</v>
      </c>
      <c r="H763" s="315">
        <f t="shared" si="159"/>
        <v>0</v>
      </c>
      <c r="I763" s="1462">
        <v>0</v>
      </c>
      <c r="J763" s="1462">
        <v>0</v>
      </c>
      <c r="K763" s="315"/>
      <c r="L763" s="315"/>
      <c r="M763" s="315">
        <f t="shared" si="156"/>
        <v>0</v>
      </c>
      <c r="N763" s="315">
        <f t="shared" si="160"/>
        <v>0</v>
      </c>
    </row>
    <row r="764" spans="1:14" s="1334" customFormat="1" ht="16" hidden="1" outlineLevel="1" thickBot="1" x14ac:dyDescent="0.4">
      <c r="A764" s="1301">
        <f t="shared" si="162"/>
        <v>12</v>
      </c>
      <c r="B764" s="1319" t="str">
        <f t="shared" si="162"/>
        <v>Land</v>
      </c>
      <c r="C764" s="1427">
        <f t="shared" si="162"/>
        <v>0</v>
      </c>
      <c r="D764" s="1464">
        <f t="shared" si="162"/>
        <v>0</v>
      </c>
      <c r="E764" s="1465">
        <f t="shared" si="162"/>
        <v>0</v>
      </c>
      <c r="F764" s="315">
        <f t="shared" si="157"/>
        <v>0</v>
      </c>
      <c r="G764" s="315">
        <f t="shared" si="158"/>
        <v>0.19434199999999999</v>
      </c>
      <c r="H764" s="315">
        <f t="shared" si="159"/>
        <v>-0.19434199999999999</v>
      </c>
      <c r="I764" s="1462">
        <v>0</v>
      </c>
      <c r="J764" s="1462">
        <v>0</v>
      </c>
      <c r="K764" s="315"/>
      <c r="L764" s="315"/>
      <c r="M764" s="315">
        <f t="shared" si="156"/>
        <v>0</v>
      </c>
      <c r="N764" s="315">
        <f t="shared" si="160"/>
        <v>-0.19434199999999999</v>
      </c>
    </row>
    <row r="765" spans="1:14" ht="15.5" collapsed="1" thickBot="1" x14ac:dyDescent="0.3">
      <c r="A765" s="1330"/>
      <c r="B765" s="1331" t="str">
        <f>B670</f>
        <v>Total</v>
      </c>
      <c r="C765" s="1332"/>
      <c r="D765" s="1333"/>
      <c r="E765" s="1466"/>
      <c r="F765" s="1466">
        <f>SUM(F675:F764)</f>
        <v>460.3728350946418</v>
      </c>
      <c r="G765" s="1466">
        <f t="shared" ref="G765:N765" si="163">SUM(G675:G764)</f>
        <v>460.65717709464184</v>
      </c>
      <c r="H765" s="1466">
        <f t="shared" si="163"/>
        <v>-0.28434199999999998</v>
      </c>
      <c r="I765" s="1466">
        <f t="shared" si="163"/>
        <v>0</v>
      </c>
      <c r="J765" s="1466">
        <f t="shared" si="163"/>
        <v>0</v>
      </c>
      <c r="K765" s="1466">
        <f t="shared" si="163"/>
        <v>0</v>
      </c>
      <c r="L765" s="1466">
        <f t="shared" si="163"/>
        <v>0</v>
      </c>
      <c r="M765" s="1466">
        <f t="shared" si="163"/>
        <v>0</v>
      </c>
      <c r="N765" s="1466">
        <f t="shared" si="163"/>
        <v>-0.28434199999999998</v>
      </c>
    </row>
  </sheetData>
  <mergeCells count="11">
    <mergeCell ref="G4:G6"/>
    <mergeCell ref="H4:H6"/>
    <mergeCell ref="I4:I6"/>
    <mergeCell ref="J4:M5"/>
    <mergeCell ref="N4:N6"/>
    <mergeCell ref="F4:F6"/>
    <mergeCell ref="A4:A6"/>
    <mergeCell ref="B4:B6"/>
    <mergeCell ref="C4:C6"/>
    <mergeCell ref="D4:D6"/>
    <mergeCell ref="E4:E6"/>
  </mergeCells>
  <conditionalFormatting sqref="C76:C79 C87:C99">
    <cfRule type="containsText" dxfId="508" priority="489" operator="containsText" text="DPR not submitted">
      <formula>NOT(ISERROR(SEARCH("DPR not submitted",C76)))</formula>
    </cfRule>
    <cfRule type="containsText" dxfId="507" priority="490" operator="containsText" text="Yet to be approved">
      <formula>NOT(ISERROR(SEARCH("Yet to be approved",C76)))</formula>
    </cfRule>
  </conditionalFormatting>
  <conditionalFormatting sqref="C40:C42">
    <cfRule type="containsText" dxfId="506" priority="487" operator="containsText" text="DPR not submitted">
      <formula>NOT(ISERROR(SEARCH("DPR not submitted",C40)))</formula>
    </cfRule>
    <cfRule type="containsText" dxfId="505" priority="488" operator="containsText" text="Yet to be approved">
      <formula>NOT(ISERROR(SEARCH("Yet to be approved",C40)))</formula>
    </cfRule>
  </conditionalFormatting>
  <conditionalFormatting sqref="C44:C48">
    <cfRule type="containsText" dxfId="504" priority="485" operator="containsText" text="DPR not submitted">
      <formula>NOT(ISERROR(SEARCH("DPR not submitted",C44)))</formula>
    </cfRule>
    <cfRule type="containsText" dxfId="503" priority="486" operator="containsText" text="Yet to be approved">
      <formula>NOT(ISERROR(SEARCH("Yet to be approved",C44)))</formula>
    </cfRule>
  </conditionalFormatting>
  <conditionalFormatting sqref="C67 C16:C23 C25:C38 C50:C65">
    <cfRule type="containsText" dxfId="502" priority="508" operator="containsText" text="DPR not submitted">
      <formula>NOT(ISERROR(SEARCH("DPR not submitted",C16)))</formula>
    </cfRule>
    <cfRule type="containsText" dxfId="501" priority="509" operator="containsText" text="Yet to be approved">
      <formula>NOT(ISERROR(SEARCH("Yet to be approved",C16)))</formula>
    </cfRule>
  </conditionalFormatting>
  <conditionalFormatting sqref="C61">
    <cfRule type="containsText" dxfId="500" priority="507" operator="containsText" text="DPR not approved">
      <formula>NOT(ISERROR(SEARCH("DPR not approved",C61)))</formula>
    </cfRule>
  </conditionalFormatting>
  <conditionalFormatting sqref="C61">
    <cfRule type="containsText" dxfId="499" priority="505" operator="containsText" text="DPR returmed back for non compliance of queries">
      <formula>NOT(ISERROR(SEARCH("DPR returmed back for non compliance of queries",C61)))</formula>
    </cfRule>
    <cfRule type="containsText" dxfId="498" priority="506" operator="containsText" text="DPR not approved">
      <formula>NOT(ISERROR(SEARCH("DPR not approved",C61)))</formula>
    </cfRule>
  </conditionalFormatting>
  <conditionalFormatting sqref="C10">
    <cfRule type="containsText" dxfId="497" priority="503" operator="containsText" text="DPR not submitted">
      <formula>NOT(ISERROR(SEARCH("DPR not submitted",C10)))</formula>
    </cfRule>
    <cfRule type="containsText" dxfId="496" priority="504" operator="containsText" text="Yet to be approved">
      <formula>NOT(ISERROR(SEARCH("Yet to be approved",C10)))</formula>
    </cfRule>
  </conditionalFormatting>
  <conditionalFormatting sqref="C15">
    <cfRule type="containsText" dxfId="495" priority="501" operator="containsText" text="DPR not submitted">
      <formula>NOT(ISERROR(SEARCH("DPR not submitted",C15)))</formula>
    </cfRule>
    <cfRule type="containsText" dxfId="494" priority="502" operator="containsText" text="Yet to be approved">
      <formula>NOT(ISERROR(SEARCH("Yet to be approved",C15)))</formula>
    </cfRule>
  </conditionalFormatting>
  <conditionalFormatting sqref="C24">
    <cfRule type="containsText" dxfId="493" priority="499" operator="containsText" text="DPR not submitted">
      <formula>NOT(ISERROR(SEARCH("DPR not submitted",C24)))</formula>
    </cfRule>
    <cfRule type="containsText" dxfId="492" priority="500" operator="containsText" text="Yet to be approved">
      <formula>NOT(ISERROR(SEARCH("Yet to be approved",C24)))</formula>
    </cfRule>
  </conditionalFormatting>
  <conditionalFormatting sqref="C39">
    <cfRule type="containsText" dxfId="491" priority="497" operator="containsText" text="DPR not submitted">
      <formula>NOT(ISERROR(SEARCH("DPR not submitted",C39)))</formula>
    </cfRule>
    <cfRule type="containsText" dxfId="490" priority="498" operator="containsText" text="Yet to be approved">
      <formula>NOT(ISERROR(SEARCH("Yet to be approved",C39)))</formula>
    </cfRule>
  </conditionalFormatting>
  <conditionalFormatting sqref="C43">
    <cfRule type="containsText" dxfId="489" priority="495" operator="containsText" text="DPR not submitted">
      <formula>NOT(ISERROR(SEARCH("DPR not submitted",C43)))</formula>
    </cfRule>
    <cfRule type="containsText" dxfId="488" priority="496" operator="containsText" text="Yet to be approved">
      <formula>NOT(ISERROR(SEARCH("Yet to be approved",C43)))</formula>
    </cfRule>
  </conditionalFormatting>
  <conditionalFormatting sqref="C49">
    <cfRule type="containsText" dxfId="487" priority="493" operator="containsText" text="DPR not submitted">
      <formula>NOT(ISERROR(SEARCH("DPR not submitted",C49)))</formula>
    </cfRule>
    <cfRule type="containsText" dxfId="486" priority="494" operator="containsText" text="Yet to be approved">
      <formula>NOT(ISERROR(SEARCH("Yet to be approved",C49)))</formula>
    </cfRule>
  </conditionalFormatting>
  <conditionalFormatting sqref="C69 C71 C73:C74 C81">
    <cfRule type="containsText" dxfId="485" priority="491" operator="containsText" text="DPR not submitted">
      <formula>NOT(ISERROR(SEARCH("DPR not submitted",C69)))</formula>
    </cfRule>
    <cfRule type="containsText" dxfId="484" priority="492" operator="containsText" text="Yet to be approved">
      <formula>NOT(ISERROR(SEARCH("Yet to be approved",C69)))</formula>
    </cfRule>
  </conditionalFormatting>
  <conditionalFormatting sqref="O1:O5 O72:O104 O167:O197 O291:O292 O386:O387 O481:O482 O576 O671 O766:O1048576">
    <cfRule type="cellIs" dxfId="483" priority="484" operator="lessThan">
      <formula>0</formula>
    </cfRule>
  </conditionalFormatting>
  <conditionalFormatting sqref="C80">
    <cfRule type="containsText" dxfId="482" priority="482" operator="containsText" text="DPR not submitted">
      <formula>NOT(ISERROR(SEARCH("DPR not submitted",C80)))</formula>
    </cfRule>
    <cfRule type="containsText" dxfId="481" priority="483" operator="containsText" text="Yet to be approved">
      <formula>NOT(ISERROR(SEARCH("Yet to be approved",C80)))</formula>
    </cfRule>
  </conditionalFormatting>
  <conditionalFormatting sqref="C80">
    <cfRule type="containsText" dxfId="480" priority="481" operator="containsText" text="DPR not approved">
      <formula>NOT(ISERROR(SEARCH("DPR not approved",C80)))</formula>
    </cfRule>
  </conditionalFormatting>
  <conditionalFormatting sqref="C80">
    <cfRule type="containsText" dxfId="479" priority="479" operator="containsText" text="DPR returmed back for non compliance of queries">
      <formula>NOT(ISERROR(SEARCH("DPR returmed back for non compliance of queries",C80)))</formula>
    </cfRule>
    <cfRule type="containsText" dxfId="478" priority="480" operator="containsText" text="DPR not approved">
      <formula>NOT(ISERROR(SEARCH("DPR not approved",C80)))</formula>
    </cfRule>
  </conditionalFormatting>
  <conditionalFormatting sqref="C82:C86">
    <cfRule type="containsText" dxfId="477" priority="477" operator="containsText" text="DPR not submitted">
      <formula>NOT(ISERROR(SEARCH("DPR not submitted",C82)))</formula>
    </cfRule>
    <cfRule type="containsText" dxfId="476" priority="478" operator="containsText" text="Yet to be approved">
      <formula>NOT(ISERROR(SEARCH("Yet to be approved",C82)))</formula>
    </cfRule>
  </conditionalFormatting>
  <conditionalFormatting sqref="C82:C86">
    <cfRule type="containsText" dxfId="475" priority="476" operator="containsText" text="DPR not approved">
      <formula>NOT(ISERROR(SEARCH("DPR not approved",C82)))</formula>
    </cfRule>
  </conditionalFormatting>
  <conditionalFormatting sqref="C82:C86">
    <cfRule type="containsText" dxfId="474" priority="474" operator="containsText" text="DPR returmed back for non compliance of queries">
      <formula>NOT(ISERROR(SEARCH("DPR returmed back for non compliance of queries",C82)))</formula>
    </cfRule>
    <cfRule type="containsText" dxfId="473" priority="475" operator="containsText" text="DPR not approved">
      <formula>NOT(ISERROR(SEARCH("DPR not approved",C82)))</formula>
    </cfRule>
  </conditionalFormatting>
  <conditionalFormatting sqref="C72">
    <cfRule type="containsText" dxfId="472" priority="457" operator="containsText" text="DPR not submitted">
      <formula>NOT(ISERROR(SEARCH("DPR not submitted",C72)))</formula>
    </cfRule>
    <cfRule type="containsText" dxfId="471" priority="458" operator="containsText" text="Yet to be approved">
      <formula>NOT(ISERROR(SEARCH("Yet to be approved",C72)))</formula>
    </cfRule>
  </conditionalFormatting>
  <conditionalFormatting sqref="C175">
    <cfRule type="containsText" dxfId="470" priority="443" operator="containsText" text="DPR not submitted">
      <formula>NOT(ISERROR(SEARCH("DPR not submitted",C175)))</formula>
    </cfRule>
    <cfRule type="containsText" dxfId="469" priority="444" operator="containsText" text="Yet to be approved">
      <formula>NOT(ISERROR(SEARCH("Yet to be approved",C175)))</formula>
    </cfRule>
  </conditionalFormatting>
  <conditionalFormatting sqref="C175">
    <cfRule type="containsText" dxfId="468" priority="442" operator="containsText" text="DPR not approved">
      <formula>NOT(ISERROR(SEARCH("DPR not approved",C175)))</formula>
    </cfRule>
  </conditionalFormatting>
  <conditionalFormatting sqref="C175">
    <cfRule type="containsText" dxfId="467" priority="440" operator="containsText" text="DPR returmed back for non compliance of queries">
      <formula>NOT(ISERROR(SEARCH("DPR returmed back for non compliance of queries",C175)))</formula>
    </cfRule>
    <cfRule type="containsText" dxfId="466" priority="441" operator="containsText" text="DPR not approved">
      <formula>NOT(ISERROR(SEARCH("DPR not approved",C175)))</formula>
    </cfRule>
  </conditionalFormatting>
  <conditionalFormatting sqref="C177:C181">
    <cfRule type="containsText" dxfId="465" priority="438" operator="containsText" text="DPR not submitted">
      <formula>NOT(ISERROR(SEARCH("DPR not submitted",C177)))</formula>
    </cfRule>
    <cfRule type="containsText" dxfId="464" priority="439" operator="containsText" text="Yet to be approved">
      <formula>NOT(ISERROR(SEARCH("Yet to be approved",C177)))</formula>
    </cfRule>
  </conditionalFormatting>
  <conditionalFormatting sqref="C177:C181">
    <cfRule type="containsText" dxfId="463" priority="437" operator="containsText" text="DPR not approved">
      <formula>NOT(ISERROR(SEARCH("DPR not approved",C177)))</formula>
    </cfRule>
  </conditionalFormatting>
  <conditionalFormatting sqref="C177:C181">
    <cfRule type="containsText" dxfId="462" priority="435" operator="containsText" text="DPR returmed back for non compliance of queries">
      <formula>NOT(ISERROR(SEARCH("DPR returmed back for non compliance of queries",C177)))</formula>
    </cfRule>
    <cfRule type="containsText" dxfId="461" priority="436" operator="containsText" text="DPR not approved">
      <formula>NOT(ISERROR(SEARCH("DPR not approved",C177)))</formula>
    </cfRule>
  </conditionalFormatting>
  <conditionalFormatting sqref="C66">
    <cfRule type="containsText" dxfId="460" priority="472" operator="containsText" text="DPR not submitted">
      <formula>NOT(ISERROR(SEARCH("DPR not submitted",C66)))</formula>
    </cfRule>
    <cfRule type="containsText" dxfId="459" priority="473" operator="containsText" text="Yet to be approved">
      <formula>NOT(ISERROR(SEARCH("Yet to be approved",C66)))</formula>
    </cfRule>
  </conditionalFormatting>
  <conditionalFormatting sqref="C66">
    <cfRule type="containsText" dxfId="458" priority="471" operator="containsText" text="DPR not approved">
      <formula>NOT(ISERROR(SEARCH("DPR not approved",C66)))</formula>
    </cfRule>
  </conditionalFormatting>
  <conditionalFormatting sqref="C66">
    <cfRule type="containsText" dxfId="457" priority="469" operator="containsText" text="DPR returmed back for non compliance of queries">
      <formula>NOT(ISERROR(SEARCH("DPR returmed back for non compliance of queries",C66)))</formula>
    </cfRule>
    <cfRule type="containsText" dxfId="456" priority="470" operator="containsText" text="DPR not approved">
      <formula>NOT(ISERROR(SEARCH("DPR not approved",C66)))</formula>
    </cfRule>
  </conditionalFormatting>
  <conditionalFormatting sqref="C68">
    <cfRule type="containsText" dxfId="455" priority="467" operator="containsText" text="DPR not submitted">
      <formula>NOT(ISERROR(SEARCH("DPR not submitted",C68)))</formula>
    </cfRule>
    <cfRule type="containsText" dxfId="454" priority="468" operator="containsText" text="Yet to be approved">
      <formula>NOT(ISERROR(SEARCH("Yet to be approved",C68)))</formula>
    </cfRule>
  </conditionalFormatting>
  <conditionalFormatting sqref="C68">
    <cfRule type="containsText" dxfId="453" priority="466" operator="containsText" text="DPR not approved">
      <formula>NOT(ISERROR(SEARCH("DPR not approved",C68)))</formula>
    </cfRule>
  </conditionalFormatting>
  <conditionalFormatting sqref="C68">
    <cfRule type="containsText" dxfId="452" priority="464" operator="containsText" text="DPR returmed back for non compliance of queries">
      <formula>NOT(ISERROR(SEARCH("DPR returmed back for non compliance of queries",C68)))</formula>
    </cfRule>
    <cfRule type="containsText" dxfId="451" priority="465" operator="containsText" text="DPR not approved">
      <formula>NOT(ISERROR(SEARCH("DPR not approved",C68)))</formula>
    </cfRule>
  </conditionalFormatting>
  <conditionalFormatting sqref="C70">
    <cfRule type="containsText" dxfId="450" priority="462" operator="containsText" text="DPR not submitted">
      <formula>NOT(ISERROR(SEARCH("DPR not submitted",C70)))</formula>
    </cfRule>
    <cfRule type="containsText" dxfId="449" priority="463" operator="containsText" text="Yet to be approved">
      <formula>NOT(ISERROR(SEARCH("Yet to be approved",C70)))</formula>
    </cfRule>
  </conditionalFormatting>
  <conditionalFormatting sqref="C70">
    <cfRule type="containsText" dxfId="448" priority="461" operator="containsText" text="DPR not approved">
      <formula>NOT(ISERROR(SEARCH("DPR not approved",C70)))</formula>
    </cfRule>
  </conditionalFormatting>
  <conditionalFormatting sqref="C70">
    <cfRule type="containsText" dxfId="447" priority="459" operator="containsText" text="DPR returmed back for non compliance of queries">
      <formula>NOT(ISERROR(SEARCH("DPR returmed back for non compliance of queries",C70)))</formula>
    </cfRule>
    <cfRule type="containsText" dxfId="446" priority="460" operator="containsText" text="DPR not approved">
      <formula>NOT(ISERROR(SEARCH("DPR not approved",C70)))</formula>
    </cfRule>
  </conditionalFormatting>
  <conditionalFormatting sqref="C72">
    <cfRule type="containsText" dxfId="445" priority="456" operator="containsText" text="DPR not approved">
      <formula>NOT(ISERROR(SEARCH("DPR not approved",C72)))</formula>
    </cfRule>
  </conditionalFormatting>
  <conditionalFormatting sqref="C72">
    <cfRule type="containsText" dxfId="444" priority="454" operator="containsText" text="DPR returmed back for non compliance of queries">
      <formula>NOT(ISERROR(SEARCH("DPR returmed back for non compliance of queries",C72)))</formula>
    </cfRule>
    <cfRule type="containsText" dxfId="443" priority="455" operator="containsText" text="DPR not approved">
      <formula>NOT(ISERROR(SEARCH("DPR not approved",C72)))</formula>
    </cfRule>
  </conditionalFormatting>
  <conditionalFormatting sqref="C75">
    <cfRule type="containsText" dxfId="442" priority="452" operator="containsText" text="DPR not submitted">
      <formula>NOT(ISERROR(SEARCH("DPR not submitted",C75)))</formula>
    </cfRule>
    <cfRule type="containsText" dxfId="441" priority="453" operator="containsText" text="Yet to be approved">
      <formula>NOT(ISERROR(SEARCH("Yet to be approved",C75)))</formula>
    </cfRule>
  </conditionalFormatting>
  <conditionalFormatting sqref="C75">
    <cfRule type="containsText" dxfId="440" priority="451" operator="containsText" text="DPR not approved">
      <formula>NOT(ISERROR(SEARCH("DPR not approved",C75)))</formula>
    </cfRule>
  </conditionalFormatting>
  <conditionalFormatting sqref="C75">
    <cfRule type="containsText" dxfId="439" priority="449" operator="containsText" text="DPR returmed back for non compliance of queries">
      <formula>NOT(ISERROR(SEARCH("DPR returmed back for non compliance of queries",C75)))</formula>
    </cfRule>
    <cfRule type="containsText" dxfId="438" priority="450" operator="containsText" text="DPR not approved">
      <formula>NOT(ISERROR(SEARCH("DPR not approved",C75)))</formula>
    </cfRule>
  </conditionalFormatting>
  <conditionalFormatting sqref="C171:C174 C182:C194">
    <cfRule type="containsText" dxfId="437" priority="445" operator="containsText" text="DPR not submitted">
      <formula>NOT(ISERROR(SEARCH("DPR not submitted",C171)))</formula>
    </cfRule>
    <cfRule type="containsText" dxfId="436" priority="446" operator="containsText" text="Yet to be approved">
      <formula>NOT(ISERROR(SEARCH("Yet to be approved",C171)))</formula>
    </cfRule>
  </conditionalFormatting>
  <conditionalFormatting sqref="C168:C169 C176">
    <cfRule type="containsText" dxfId="435" priority="447" operator="containsText" text="DPR not submitted">
      <formula>NOT(ISERROR(SEARCH("DPR not submitted",C168)))</formula>
    </cfRule>
    <cfRule type="containsText" dxfId="434" priority="448" operator="containsText" text="Yet to be approved">
      <formula>NOT(ISERROR(SEARCH("Yet to be approved",C168)))</formula>
    </cfRule>
  </conditionalFormatting>
  <conditionalFormatting sqref="C167">
    <cfRule type="containsText" dxfId="433" priority="433" operator="containsText" text="DPR not submitted">
      <formula>NOT(ISERROR(SEARCH("DPR not submitted",C167)))</formula>
    </cfRule>
    <cfRule type="containsText" dxfId="432" priority="434" operator="containsText" text="Yet to be approved">
      <formula>NOT(ISERROR(SEARCH("Yet to be approved",C167)))</formula>
    </cfRule>
  </conditionalFormatting>
  <conditionalFormatting sqref="C167">
    <cfRule type="containsText" dxfId="431" priority="432" operator="containsText" text="DPR not approved">
      <formula>NOT(ISERROR(SEARCH("DPR not approved",C167)))</formula>
    </cfRule>
  </conditionalFormatting>
  <conditionalFormatting sqref="C167">
    <cfRule type="containsText" dxfId="430" priority="430" operator="containsText" text="DPR returmed back for non compliance of queries">
      <formula>NOT(ISERROR(SEARCH("DPR returmed back for non compliance of queries",C167)))</formula>
    </cfRule>
    <cfRule type="containsText" dxfId="429" priority="431" operator="containsText" text="DPR not approved">
      <formula>NOT(ISERROR(SEARCH("DPR not approved",C167)))</formula>
    </cfRule>
  </conditionalFormatting>
  <conditionalFormatting sqref="C170">
    <cfRule type="containsText" dxfId="428" priority="428" operator="containsText" text="DPR not submitted">
      <formula>NOT(ISERROR(SEARCH("DPR not submitted",C170)))</formula>
    </cfRule>
    <cfRule type="containsText" dxfId="427" priority="429" operator="containsText" text="Yet to be approved">
      <formula>NOT(ISERROR(SEARCH("Yet to be approved",C170)))</formula>
    </cfRule>
  </conditionalFormatting>
  <conditionalFormatting sqref="C170">
    <cfRule type="containsText" dxfId="426" priority="427" operator="containsText" text="DPR not approved">
      <formula>NOT(ISERROR(SEARCH("DPR not approved",C170)))</formula>
    </cfRule>
  </conditionalFormatting>
  <conditionalFormatting sqref="C170">
    <cfRule type="containsText" dxfId="425" priority="425" operator="containsText" text="DPR returmed back for non compliance of queries">
      <formula>NOT(ISERROR(SEARCH("DPR returmed back for non compliance of queries",C170)))</formula>
    </cfRule>
    <cfRule type="containsText" dxfId="424" priority="426" operator="containsText" text="DPR not approved">
      <formula>NOT(ISERROR(SEARCH("DPR not approved",C170)))</formula>
    </cfRule>
  </conditionalFormatting>
  <conditionalFormatting sqref="O198:O199 O262:O289">
    <cfRule type="cellIs" dxfId="423" priority="424" operator="lessThan">
      <formula>0</formula>
    </cfRule>
  </conditionalFormatting>
  <conditionalFormatting sqref="C270">
    <cfRule type="containsText" dxfId="422" priority="418" operator="containsText" text="DPR not submitted">
      <formula>NOT(ISERROR(SEARCH("DPR not submitted",C270)))</formula>
    </cfRule>
    <cfRule type="containsText" dxfId="421" priority="419" operator="containsText" text="Yet to be approved">
      <formula>NOT(ISERROR(SEARCH("Yet to be approved",C270)))</formula>
    </cfRule>
  </conditionalFormatting>
  <conditionalFormatting sqref="C270">
    <cfRule type="containsText" dxfId="420" priority="417" operator="containsText" text="DPR not approved">
      <formula>NOT(ISERROR(SEARCH("DPR not approved",C270)))</formula>
    </cfRule>
  </conditionalFormatting>
  <conditionalFormatting sqref="C270">
    <cfRule type="containsText" dxfId="419" priority="415" operator="containsText" text="DPR returmed back for non compliance of queries">
      <formula>NOT(ISERROR(SEARCH("DPR returmed back for non compliance of queries",C270)))</formula>
    </cfRule>
    <cfRule type="containsText" dxfId="418" priority="416" operator="containsText" text="DPR not approved">
      <formula>NOT(ISERROR(SEARCH("DPR not approved",C270)))</formula>
    </cfRule>
  </conditionalFormatting>
  <conditionalFormatting sqref="C272:C276">
    <cfRule type="containsText" dxfId="417" priority="413" operator="containsText" text="DPR not submitted">
      <formula>NOT(ISERROR(SEARCH("DPR not submitted",C272)))</formula>
    </cfRule>
    <cfRule type="containsText" dxfId="416" priority="414" operator="containsText" text="Yet to be approved">
      <formula>NOT(ISERROR(SEARCH("Yet to be approved",C272)))</formula>
    </cfRule>
  </conditionalFormatting>
  <conditionalFormatting sqref="C272:C276">
    <cfRule type="containsText" dxfId="415" priority="412" operator="containsText" text="DPR not approved">
      <formula>NOT(ISERROR(SEARCH("DPR not approved",C272)))</formula>
    </cfRule>
  </conditionalFormatting>
  <conditionalFormatting sqref="C272:C276">
    <cfRule type="containsText" dxfId="414" priority="410" operator="containsText" text="DPR returmed back for non compliance of queries">
      <formula>NOT(ISERROR(SEARCH("DPR returmed back for non compliance of queries",C272)))</formula>
    </cfRule>
    <cfRule type="containsText" dxfId="413" priority="411" operator="containsText" text="DPR not approved">
      <formula>NOT(ISERROR(SEARCH("DPR not approved",C272)))</formula>
    </cfRule>
  </conditionalFormatting>
  <conditionalFormatting sqref="C266:C269 C277:C289">
    <cfRule type="containsText" dxfId="412" priority="420" operator="containsText" text="DPR not submitted">
      <formula>NOT(ISERROR(SEARCH("DPR not submitted",C266)))</formula>
    </cfRule>
    <cfRule type="containsText" dxfId="411" priority="421" operator="containsText" text="Yet to be approved">
      <formula>NOT(ISERROR(SEARCH("Yet to be approved",C266)))</formula>
    </cfRule>
  </conditionalFormatting>
  <conditionalFormatting sqref="C263:C264 C271">
    <cfRule type="containsText" dxfId="410" priority="422" operator="containsText" text="DPR not submitted">
      <formula>NOT(ISERROR(SEARCH("DPR not submitted",C263)))</formula>
    </cfRule>
    <cfRule type="containsText" dxfId="409" priority="423" operator="containsText" text="Yet to be approved">
      <formula>NOT(ISERROR(SEARCH("Yet to be approved",C263)))</formula>
    </cfRule>
  </conditionalFormatting>
  <conditionalFormatting sqref="C262">
    <cfRule type="containsText" dxfId="408" priority="408" operator="containsText" text="DPR not submitted">
      <formula>NOT(ISERROR(SEARCH("DPR not submitted",C262)))</formula>
    </cfRule>
    <cfRule type="containsText" dxfId="407" priority="409" operator="containsText" text="Yet to be approved">
      <formula>NOT(ISERROR(SEARCH("Yet to be approved",C262)))</formula>
    </cfRule>
  </conditionalFormatting>
  <conditionalFormatting sqref="C262">
    <cfRule type="containsText" dxfId="406" priority="407" operator="containsText" text="DPR not approved">
      <formula>NOT(ISERROR(SEARCH("DPR not approved",C262)))</formula>
    </cfRule>
  </conditionalFormatting>
  <conditionalFormatting sqref="C262">
    <cfRule type="containsText" dxfId="405" priority="405" operator="containsText" text="DPR returmed back for non compliance of queries">
      <formula>NOT(ISERROR(SEARCH("DPR returmed back for non compliance of queries",C262)))</formula>
    </cfRule>
    <cfRule type="containsText" dxfId="404" priority="406" operator="containsText" text="DPR not approved">
      <formula>NOT(ISERROR(SEARCH("DPR not approved",C262)))</formula>
    </cfRule>
  </conditionalFormatting>
  <conditionalFormatting sqref="C265">
    <cfRule type="containsText" dxfId="403" priority="403" operator="containsText" text="DPR not submitted">
      <formula>NOT(ISERROR(SEARCH("DPR not submitted",C265)))</formula>
    </cfRule>
    <cfRule type="containsText" dxfId="402" priority="404" operator="containsText" text="Yet to be approved">
      <formula>NOT(ISERROR(SEARCH("Yet to be approved",C265)))</formula>
    </cfRule>
  </conditionalFormatting>
  <conditionalFormatting sqref="C265">
    <cfRule type="containsText" dxfId="401" priority="402" operator="containsText" text="DPR not approved">
      <formula>NOT(ISERROR(SEARCH("DPR not approved",C265)))</formula>
    </cfRule>
  </conditionalFormatting>
  <conditionalFormatting sqref="C265">
    <cfRule type="containsText" dxfId="400" priority="400" operator="containsText" text="DPR returmed back for non compliance of queries">
      <formula>NOT(ISERROR(SEARCH("DPR returmed back for non compliance of queries",C265)))</formula>
    </cfRule>
    <cfRule type="containsText" dxfId="399" priority="401" operator="containsText" text="DPR not approved">
      <formula>NOT(ISERROR(SEARCH("DPR not approved",C265)))</formula>
    </cfRule>
  </conditionalFormatting>
  <conditionalFormatting sqref="O290">
    <cfRule type="cellIs" dxfId="398" priority="399" operator="lessThan">
      <formula>0</formula>
    </cfRule>
  </conditionalFormatting>
  <conditionalFormatting sqref="O293:O294 O357:O384">
    <cfRule type="cellIs" dxfId="397" priority="398" operator="lessThan">
      <formula>0</formula>
    </cfRule>
  </conditionalFormatting>
  <conditionalFormatting sqref="C365">
    <cfRule type="containsText" dxfId="396" priority="392" operator="containsText" text="DPR not submitted">
      <formula>NOT(ISERROR(SEARCH("DPR not submitted",C365)))</formula>
    </cfRule>
    <cfRule type="containsText" dxfId="395" priority="393" operator="containsText" text="Yet to be approved">
      <formula>NOT(ISERROR(SEARCH("Yet to be approved",C365)))</formula>
    </cfRule>
  </conditionalFormatting>
  <conditionalFormatting sqref="C365">
    <cfRule type="containsText" dxfId="394" priority="391" operator="containsText" text="DPR not approved">
      <formula>NOT(ISERROR(SEARCH("DPR not approved",C365)))</formula>
    </cfRule>
  </conditionalFormatting>
  <conditionalFormatting sqref="C365">
    <cfRule type="containsText" dxfId="393" priority="389" operator="containsText" text="DPR returmed back for non compliance of queries">
      <formula>NOT(ISERROR(SEARCH("DPR returmed back for non compliance of queries",C365)))</formula>
    </cfRule>
    <cfRule type="containsText" dxfId="392" priority="390" operator="containsText" text="DPR not approved">
      <formula>NOT(ISERROR(SEARCH("DPR not approved",C365)))</formula>
    </cfRule>
  </conditionalFormatting>
  <conditionalFormatting sqref="C367:C371">
    <cfRule type="containsText" dxfId="391" priority="387" operator="containsText" text="DPR not submitted">
      <formula>NOT(ISERROR(SEARCH("DPR not submitted",C367)))</formula>
    </cfRule>
    <cfRule type="containsText" dxfId="390" priority="388" operator="containsText" text="Yet to be approved">
      <formula>NOT(ISERROR(SEARCH("Yet to be approved",C367)))</formula>
    </cfRule>
  </conditionalFormatting>
  <conditionalFormatting sqref="C367:C371">
    <cfRule type="containsText" dxfId="389" priority="386" operator="containsText" text="DPR not approved">
      <formula>NOT(ISERROR(SEARCH("DPR not approved",C367)))</formula>
    </cfRule>
  </conditionalFormatting>
  <conditionalFormatting sqref="C367:C371">
    <cfRule type="containsText" dxfId="388" priority="384" operator="containsText" text="DPR returmed back for non compliance of queries">
      <formula>NOT(ISERROR(SEARCH("DPR returmed back for non compliance of queries",C367)))</formula>
    </cfRule>
    <cfRule type="containsText" dxfId="387" priority="385" operator="containsText" text="DPR not approved">
      <formula>NOT(ISERROR(SEARCH("DPR not approved",C367)))</formula>
    </cfRule>
  </conditionalFormatting>
  <conditionalFormatting sqref="C361:C364 C372:C384">
    <cfRule type="containsText" dxfId="386" priority="394" operator="containsText" text="DPR not submitted">
      <formula>NOT(ISERROR(SEARCH("DPR not submitted",C361)))</formula>
    </cfRule>
    <cfRule type="containsText" dxfId="385" priority="395" operator="containsText" text="Yet to be approved">
      <formula>NOT(ISERROR(SEARCH("Yet to be approved",C361)))</formula>
    </cfRule>
  </conditionalFormatting>
  <conditionalFormatting sqref="C358:C359 C366">
    <cfRule type="containsText" dxfId="384" priority="396" operator="containsText" text="DPR not submitted">
      <formula>NOT(ISERROR(SEARCH("DPR not submitted",C358)))</formula>
    </cfRule>
    <cfRule type="containsText" dxfId="383" priority="397" operator="containsText" text="Yet to be approved">
      <formula>NOT(ISERROR(SEARCH("Yet to be approved",C358)))</formula>
    </cfRule>
  </conditionalFormatting>
  <conditionalFormatting sqref="C357">
    <cfRule type="containsText" dxfId="382" priority="382" operator="containsText" text="DPR not submitted">
      <formula>NOT(ISERROR(SEARCH("DPR not submitted",C357)))</formula>
    </cfRule>
    <cfRule type="containsText" dxfId="381" priority="383" operator="containsText" text="Yet to be approved">
      <formula>NOT(ISERROR(SEARCH("Yet to be approved",C357)))</formula>
    </cfRule>
  </conditionalFormatting>
  <conditionalFormatting sqref="C357">
    <cfRule type="containsText" dxfId="380" priority="381" operator="containsText" text="DPR not approved">
      <formula>NOT(ISERROR(SEARCH("DPR not approved",C357)))</formula>
    </cfRule>
  </conditionalFormatting>
  <conditionalFormatting sqref="C357">
    <cfRule type="containsText" dxfId="379" priority="379" operator="containsText" text="DPR returmed back for non compliance of queries">
      <formula>NOT(ISERROR(SEARCH("DPR returmed back for non compliance of queries",C357)))</formula>
    </cfRule>
    <cfRule type="containsText" dxfId="378" priority="380" operator="containsText" text="DPR not approved">
      <formula>NOT(ISERROR(SEARCH("DPR not approved",C357)))</formula>
    </cfRule>
  </conditionalFormatting>
  <conditionalFormatting sqref="C360">
    <cfRule type="containsText" dxfId="377" priority="377" operator="containsText" text="DPR not submitted">
      <formula>NOT(ISERROR(SEARCH("DPR not submitted",C360)))</formula>
    </cfRule>
    <cfRule type="containsText" dxfId="376" priority="378" operator="containsText" text="Yet to be approved">
      <formula>NOT(ISERROR(SEARCH("Yet to be approved",C360)))</formula>
    </cfRule>
  </conditionalFormatting>
  <conditionalFormatting sqref="C360">
    <cfRule type="containsText" dxfId="375" priority="376" operator="containsText" text="DPR not approved">
      <formula>NOT(ISERROR(SEARCH("DPR not approved",C360)))</formula>
    </cfRule>
  </conditionalFormatting>
  <conditionalFormatting sqref="C360">
    <cfRule type="containsText" dxfId="374" priority="374" operator="containsText" text="DPR returmed back for non compliance of queries">
      <formula>NOT(ISERROR(SEARCH("DPR returmed back for non compliance of queries",C360)))</formula>
    </cfRule>
    <cfRule type="containsText" dxfId="373" priority="375" operator="containsText" text="DPR not approved">
      <formula>NOT(ISERROR(SEARCH("DPR not approved",C360)))</formula>
    </cfRule>
  </conditionalFormatting>
  <conditionalFormatting sqref="O385">
    <cfRule type="cellIs" dxfId="372" priority="373" operator="lessThan">
      <formula>0</formula>
    </cfRule>
  </conditionalFormatting>
  <conditionalFormatting sqref="O388:O389 O452:O479">
    <cfRule type="cellIs" dxfId="371" priority="372" operator="lessThan">
      <formula>0</formula>
    </cfRule>
  </conditionalFormatting>
  <conditionalFormatting sqref="C460">
    <cfRule type="containsText" dxfId="370" priority="366" operator="containsText" text="DPR not submitted">
      <formula>NOT(ISERROR(SEARCH("DPR not submitted",C460)))</formula>
    </cfRule>
    <cfRule type="containsText" dxfId="369" priority="367" operator="containsText" text="Yet to be approved">
      <formula>NOT(ISERROR(SEARCH("Yet to be approved",C460)))</formula>
    </cfRule>
  </conditionalFormatting>
  <conditionalFormatting sqref="C460">
    <cfRule type="containsText" dxfId="368" priority="365" operator="containsText" text="DPR not approved">
      <formula>NOT(ISERROR(SEARCH("DPR not approved",C460)))</formula>
    </cfRule>
  </conditionalFormatting>
  <conditionalFormatting sqref="C460">
    <cfRule type="containsText" dxfId="367" priority="363" operator="containsText" text="DPR returmed back for non compliance of queries">
      <formula>NOT(ISERROR(SEARCH("DPR returmed back for non compliance of queries",C460)))</formula>
    </cfRule>
    <cfRule type="containsText" dxfId="366" priority="364" operator="containsText" text="DPR not approved">
      <formula>NOT(ISERROR(SEARCH("DPR not approved",C460)))</formula>
    </cfRule>
  </conditionalFormatting>
  <conditionalFormatting sqref="C462:C466">
    <cfRule type="containsText" dxfId="365" priority="361" operator="containsText" text="DPR not submitted">
      <formula>NOT(ISERROR(SEARCH("DPR not submitted",C462)))</formula>
    </cfRule>
    <cfRule type="containsText" dxfId="364" priority="362" operator="containsText" text="Yet to be approved">
      <formula>NOT(ISERROR(SEARCH("Yet to be approved",C462)))</formula>
    </cfRule>
  </conditionalFormatting>
  <conditionalFormatting sqref="C462:C466">
    <cfRule type="containsText" dxfId="363" priority="360" operator="containsText" text="DPR not approved">
      <formula>NOT(ISERROR(SEARCH("DPR not approved",C462)))</formula>
    </cfRule>
  </conditionalFormatting>
  <conditionalFormatting sqref="C462:C466">
    <cfRule type="containsText" dxfId="362" priority="358" operator="containsText" text="DPR returmed back for non compliance of queries">
      <formula>NOT(ISERROR(SEARCH("DPR returmed back for non compliance of queries",C462)))</formula>
    </cfRule>
    <cfRule type="containsText" dxfId="361" priority="359" operator="containsText" text="DPR not approved">
      <formula>NOT(ISERROR(SEARCH("DPR not approved",C462)))</formula>
    </cfRule>
  </conditionalFormatting>
  <conditionalFormatting sqref="C456:C459 C467:C479">
    <cfRule type="containsText" dxfId="360" priority="368" operator="containsText" text="DPR not submitted">
      <formula>NOT(ISERROR(SEARCH("DPR not submitted",C456)))</formula>
    </cfRule>
    <cfRule type="containsText" dxfId="359" priority="369" operator="containsText" text="Yet to be approved">
      <formula>NOT(ISERROR(SEARCH("Yet to be approved",C456)))</formula>
    </cfRule>
  </conditionalFormatting>
  <conditionalFormatting sqref="C453:C454 C461">
    <cfRule type="containsText" dxfId="358" priority="370" operator="containsText" text="DPR not submitted">
      <formula>NOT(ISERROR(SEARCH("DPR not submitted",C453)))</formula>
    </cfRule>
    <cfRule type="containsText" dxfId="357" priority="371" operator="containsText" text="Yet to be approved">
      <formula>NOT(ISERROR(SEARCH("Yet to be approved",C453)))</formula>
    </cfRule>
  </conditionalFormatting>
  <conditionalFormatting sqref="C452">
    <cfRule type="containsText" dxfId="356" priority="356" operator="containsText" text="DPR not submitted">
      <formula>NOT(ISERROR(SEARCH("DPR not submitted",C452)))</formula>
    </cfRule>
    <cfRule type="containsText" dxfId="355" priority="357" operator="containsText" text="Yet to be approved">
      <formula>NOT(ISERROR(SEARCH("Yet to be approved",C452)))</formula>
    </cfRule>
  </conditionalFormatting>
  <conditionalFormatting sqref="C452">
    <cfRule type="containsText" dxfId="354" priority="355" operator="containsText" text="DPR not approved">
      <formula>NOT(ISERROR(SEARCH("DPR not approved",C452)))</formula>
    </cfRule>
  </conditionalFormatting>
  <conditionalFormatting sqref="C452">
    <cfRule type="containsText" dxfId="353" priority="353" operator="containsText" text="DPR returmed back for non compliance of queries">
      <formula>NOT(ISERROR(SEARCH("DPR returmed back for non compliance of queries",C452)))</formula>
    </cfRule>
    <cfRule type="containsText" dxfId="352" priority="354" operator="containsText" text="DPR not approved">
      <formula>NOT(ISERROR(SEARCH("DPR not approved",C452)))</formula>
    </cfRule>
  </conditionalFormatting>
  <conditionalFormatting sqref="C455">
    <cfRule type="containsText" dxfId="351" priority="351" operator="containsText" text="DPR not submitted">
      <formula>NOT(ISERROR(SEARCH("DPR not submitted",C455)))</formula>
    </cfRule>
    <cfRule type="containsText" dxfId="350" priority="352" operator="containsText" text="Yet to be approved">
      <formula>NOT(ISERROR(SEARCH("Yet to be approved",C455)))</formula>
    </cfRule>
  </conditionalFormatting>
  <conditionalFormatting sqref="C455">
    <cfRule type="containsText" dxfId="349" priority="350" operator="containsText" text="DPR not approved">
      <formula>NOT(ISERROR(SEARCH("DPR not approved",C455)))</formula>
    </cfRule>
  </conditionalFormatting>
  <conditionalFormatting sqref="C455">
    <cfRule type="containsText" dxfId="348" priority="348" operator="containsText" text="DPR returmed back for non compliance of queries">
      <formula>NOT(ISERROR(SEARCH("DPR returmed back for non compliance of queries",C455)))</formula>
    </cfRule>
    <cfRule type="containsText" dxfId="347" priority="349" operator="containsText" text="DPR not approved">
      <formula>NOT(ISERROR(SEARCH("DPR not approved",C455)))</formula>
    </cfRule>
  </conditionalFormatting>
  <conditionalFormatting sqref="O480">
    <cfRule type="cellIs" dxfId="346" priority="347" operator="lessThan">
      <formula>0</formula>
    </cfRule>
  </conditionalFormatting>
  <conditionalFormatting sqref="O483:O484 O547:O574">
    <cfRule type="cellIs" dxfId="345" priority="346" operator="lessThan">
      <formula>0</formula>
    </cfRule>
  </conditionalFormatting>
  <conditionalFormatting sqref="C555">
    <cfRule type="containsText" dxfId="344" priority="340" operator="containsText" text="DPR not submitted">
      <formula>NOT(ISERROR(SEARCH("DPR not submitted",C555)))</formula>
    </cfRule>
    <cfRule type="containsText" dxfId="343" priority="341" operator="containsText" text="Yet to be approved">
      <formula>NOT(ISERROR(SEARCH("Yet to be approved",C555)))</formula>
    </cfRule>
  </conditionalFormatting>
  <conditionalFormatting sqref="C555">
    <cfRule type="containsText" dxfId="342" priority="339" operator="containsText" text="DPR not approved">
      <formula>NOT(ISERROR(SEARCH("DPR not approved",C555)))</formula>
    </cfRule>
  </conditionalFormatting>
  <conditionalFormatting sqref="C555">
    <cfRule type="containsText" dxfId="341" priority="337" operator="containsText" text="DPR returmed back for non compliance of queries">
      <formula>NOT(ISERROR(SEARCH("DPR returmed back for non compliance of queries",C555)))</formula>
    </cfRule>
    <cfRule type="containsText" dxfId="340" priority="338" operator="containsText" text="DPR not approved">
      <formula>NOT(ISERROR(SEARCH("DPR not approved",C555)))</formula>
    </cfRule>
  </conditionalFormatting>
  <conditionalFormatting sqref="C557:C561">
    <cfRule type="containsText" dxfId="339" priority="335" operator="containsText" text="DPR not submitted">
      <formula>NOT(ISERROR(SEARCH("DPR not submitted",C557)))</formula>
    </cfRule>
    <cfRule type="containsText" dxfId="338" priority="336" operator="containsText" text="Yet to be approved">
      <formula>NOT(ISERROR(SEARCH("Yet to be approved",C557)))</formula>
    </cfRule>
  </conditionalFormatting>
  <conditionalFormatting sqref="C557:C561">
    <cfRule type="containsText" dxfId="337" priority="334" operator="containsText" text="DPR not approved">
      <formula>NOT(ISERROR(SEARCH("DPR not approved",C557)))</formula>
    </cfRule>
  </conditionalFormatting>
  <conditionalFormatting sqref="C557:C561">
    <cfRule type="containsText" dxfId="336" priority="332" operator="containsText" text="DPR returmed back for non compliance of queries">
      <formula>NOT(ISERROR(SEARCH("DPR returmed back for non compliance of queries",C557)))</formula>
    </cfRule>
    <cfRule type="containsText" dxfId="335" priority="333" operator="containsText" text="DPR not approved">
      <formula>NOT(ISERROR(SEARCH("DPR not approved",C557)))</formula>
    </cfRule>
  </conditionalFormatting>
  <conditionalFormatting sqref="C551:C554 C562:C574">
    <cfRule type="containsText" dxfId="334" priority="342" operator="containsText" text="DPR not submitted">
      <formula>NOT(ISERROR(SEARCH("DPR not submitted",C551)))</formula>
    </cfRule>
    <cfRule type="containsText" dxfId="333" priority="343" operator="containsText" text="Yet to be approved">
      <formula>NOT(ISERROR(SEARCH("Yet to be approved",C551)))</formula>
    </cfRule>
  </conditionalFormatting>
  <conditionalFormatting sqref="C548:C549 C556">
    <cfRule type="containsText" dxfId="332" priority="344" operator="containsText" text="DPR not submitted">
      <formula>NOT(ISERROR(SEARCH("DPR not submitted",C548)))</formula>
    </cfRule>
    <cfRule type="containsText" dxfId="331" priority="345" operator="containsText" text="Yet to be approved">
      <formula>NOT(ISERROR(SEARCH("Yet to be approved",C548)))</formula>
    </cfRule>
  </conditionalFormatting>
  <conditionalFormatting sqref="C547">
    <cfRule type="containsText" dxfId="330" priority="330" operator="containsText" text="DPR not submitted">
      <formula>NOT(ISERROR(SEARCH("DPR not submitted",C547)))</formula>
    </cfRule>
    <cfRule type="containsText" dxfId="329" priority="331" operator="containsText" text="Yet to be approved">
      <formula>NOT(ISERROR(SEARCH("Yet to be approved",C547)))</formula>
    </cfRule>
  </conditionalFormatting>
  <conditionalFormatting sqref="C547">
    <cfRule type="containsText" dxfId="328" priority="329" operator="containsText" text="DPR not approved">
      <formula>NOT(ISERROR(SEARCH("DPR not approved",C547)))</formula>
    </cfRule>
  </conditionalFormatting>
  <conditionalFormatting sqref="C547">
    <cfRule type="containsText" dxfId="327" priority="327" operator="containsText" text="DPR returmed back for non compliance of queries">
      <formula>NOT(ISERROR(SEARCH("DPR returmed back for non compliance of queries",C547)))</formula>
    </cfRule>
    <cfRule type="containsText" dxfId="326" priority="328" operator="containsText" text="DPR not approved">
      <formula>NOT(ISERROR(SEARCH("DPR not approved",C547)))</formula>
    </cfRule>
  </conditionalFormatting>
  <conditionalFormatting sqref="C550">
    <cfRule type="containsText" dxfId="325" priority="325" operator="containsText" text="DPR not submitted">
      <formula>NOT(ISERROR(SEARCH("DPR not submitted",C550)))</formula>
    </cfRule>
    <cfRule type="containsText" dxfId="324" priority="326" operator="containsText" text="Yet to be approved">
      <formula>NOT(ISERROR(SEARCH("Yet to be approved",C550)))</formula>
    </cfRule>
  </conditionalFormatting>
  <conditionalFormatting sqref="C550">
    <cfRule type="containsText" dxfId="323" priority="324" operator="containsText" text="DPR not approved">
      <formula>NOT(ISERROR(SEARCH("DPR not approved",C550)))</formula>
    </cfRule>
  </conditionalFormatting>
  <conditionalFormatting sqref="C550">
    <cfRule type="containsText" dxfId="322" priority="322" operator="containsText" text="DPR returmed back for non compliance of queries">
      <formula>NOT(ISERROR(SEARCH("DPR returmed back for non compliance of queries",C550)))</formula>
    </cfRule>
    <cfRule type="containsText" dxfId="321" priority="323" operator="containsText" text="DPR not approved">
      <formula>NOT(ISERROR(SEARCH("DPR not approved",C550)))</formula>
    </cfRule>
  </conditionalFormatting>
  <conditionalFormatting sqref="O575">
    <cfRule type="cellIs" dxfId="320" priority="321" operator="lessThan">
      <formula>0</formula>
    </cfRule>
  </conditionalFormatting>
  <conditionalFormatting sqref="O577">
    <cfRule type="cellIs" dxfId="319" priority="320" operator="lessThan">
      <formula>0</formula>
    </cfRule>
  </conditionalFormatting>
  <conditionalFormatting sqref="O578:O579 O642:O669">
    <cfRule type="cellIs" dxfId="318" priority="319" operator="lessThan">
      <formula>0</formula>
    </cfRule>
  </conditionalFormatting>
  <conditionalFormatting sqref="C650">
    <cfRule type="containsText" dxfId="317" priority="313" operator="containsText" text="DPR not submitted">
      <formula>NOT(ISERROR(SEARCH("DPR not submitted",C650)))</formula>
    </cfRule>
    <cfRule type="containsText" dxfId="316" priority="314" operator="containsText" text="Yet to be approved">
      <formula>NOT(ISERROR(SEARCH("Yet to be approved",C650)))</formula>
    </cfRule>
  </conditionalFormatting>
  <conditionalFormatting sqref="C650">
    <cfRule type="containsText" dxfId="315" priority="312" operator="containsText" text="DPR not approved">
      <formula>NOT(ISERROR(SEARCH("DPR not approved",C650)))</formula>
    </cfRule>
  </conditionalFormatting>
  <conditionalFormatting sqref="C650">
    <cfRule type="containsText" dxfId="314" priority="310" operator="containsText" text="DPR returmed back for non compliance of queries">
      <formula>NOT(ISERROR(SEARCH("DPR returmed back for non compliance of queries",C650)))</formula>
    </cfRule>
    <cfRule type="containsText" dxfId="313" priority="311" operator="containsText" text="DPR not approved">
      <formula>NOT(ISERROR(SEARCH("DPR not approved",C650)))</formula>
    </cfRule>
  </conditionalFormatting>
  <conditionalFormatting sqref="C652:C656">
    <cfRule type="containsText" dxfId="312" priority="308" operator="containsText" text="DPR not submitted">
      <formula>NOT(ISERROR(SEARCH("DPR not submitted",C652)))</formula>
    </cfRule>
    <cfRule type="containsText" dxfId="311" priority="309" operator="containsText" text="Yet to be approved">
      <formula>NOT(ISERROR(SEARCH("Yet to be approved",C652)))</formula>
    </cfRule>
  </conditionalFormatting>
  <conditionalFormatting sqref="C652:C656">
    <cfRule type="containsText" dxfId="310" priority="307" operator="containsText" text="DPR not approved">
      <formula>NOT(ISERROR(SEARCH("DPR not approved",C652)))</formula>
    </cfRule>
  </conditionalFormatting>
  <conditionalFormatting sqref="C652:C656">
    <cfRule type="containsText" dxfId="309" priority="305" operator="containsText" text="DPR returmed back for non compliance of queries">
      <formula>NOT(ISERROR(SEARCH("DPR returmed back for non compliance of queries",C652)))</formula>
    </cfRule>
    <cfRule type="containsText" dxfId="308" priority="306" operator="containsText" text="DPR not approved">
      <formula>NOT(ISERROR(SEARCH("DPR not approved",C652)))</formula>
    </cfRule>
  </conditionalFormatting>
  <conditionalFormatting sqref="C646:C649 C657:C669">
    <cfRule type="containsText" dxfId="307" priority="315" operator="containsText" text="DPR not submitted">
      <formula>NOT(ISERROR(SEARCH("DPR not submitted",C646)))</formula>
    </cfRule>
    <cfRule type="containsText" dxfId="306" priority="316" operator="containsText" text="Yet to be approved">
      <formula>NOT(ISERROR(SEARCH("Yet to be approved",C646)))</formula>
    </cfRule>
  </conditionalFormatting>
  <conditionalFormatting sqref="C643:C644 C651">
    <cfRule type="containsText" dxfId="305" priority="317" operator="containsText" text="DPR not submitted">
      <formula>NOT(ISERROR(SEARCH("DPR not submitted",C643)))</formula>
    </cfRule>
    <cfRule type="containsText" dxfId="304" priority="318" operator="containsText" text="Yet to be approved">
      <formula>NOT(ISERROR(SEARCH("Yet to be approved",C643)))</formula>
    </cfRule>
  </conditionalFormatting>
  <conditionalFormatting sqref="C642">
    <cfRule type="containsText" dxfId="303" priority="303" operator="containsText" text="DPR not submitted">
      <formula>NOT(ISERROR(SEARCH("DPR not submitted",C642)))</formula>
    </cfRule>
    <cfRule type="containsText" dxfId="302" priority="304" operator="containsText" text="Yet to be approved">
      <formula>NOT(ISERROR(SEARCH("Yet to be approved",C642)))</formula>
    </cfRule>
  </conditionalFormatting>
  <conditionalFormatting sqref="C642">
    <cfRule type="containsText" dxfId="301" priority="302" operator="containsText" text="DPR not approved">
      <formula>NOT(ISERROR(SEARCH("DPR not approved",C642)))</formula>
    </cfRule>
  </conditionalFormatting>
  <conditionalFormatting sqref="C642">
    <cfRule type="containsText" dxfId="300" priority="300" operator="containsText" text="DPR returmed back for non compliance of queries">
      <formula>NOT(ISERROR(SEARCH("DPR returmed back for non compliance of queries",C642)))</formula>
    </cfRule>
    <cfRule type="containsText" dxfId="299" priority="301" operator="containsText" text="DPR not approved">
      <formula>NOT(ISERROR(SEARCH("DPR not approved",C642)))</formula>
    </cfRule>
  </conditionalFormatting>
  <conditionalFormatting sqref="C645">
    <cfRule type="containsText" dxfId="298" priority="298" operator="containsText" text="DPR not submitted">
      <formula>NOT(ISERROR(SEARCH("DPR not submitted",C645)))</formula>
    </cfRule>
    <cfRule type="containsText" dxfId="297" priority="299" operator="containsText" text="Yet to be approved">
      <formula>NOT(ISERROR(SEARCH("Yet to be approved",C645)))</formula>
    </cfRule>
  </conditionalFormatting>
  <conditionalFormatting sqref="C645">
    <cfRule type="containsText" dxfId="296" priority="297" operator="containsText" text="DPR not approved">
      <formula>NOT(ISERROR(SEARCH("DPR not approved",C645)))</formula>
    </cfRule>
  </conditionalFormatting>
  <conditionalFormatting sqref="C645">
    <cfRule type="containsText" dxfId="295" priority="295" operator="containsText" text="DPR returmed back for non compliance of queries">
      <formula>NOT(ISERROR(SEARCH("DPR returmed back for non compliance of queries",C645)))</formula>
    </cfRule>
    <cfRule type="containsText" dxfId="294" priority="296" operator="containsText" text="DPR not approved">
      <formula>NOT(ISERROR(SEARCH("DPR not approved",C645)))</formula>
    </cfRule>
  </conditionalFormatting>
  <conditionalFormatting sqref="O670">
    <cfRule type="cellIs" dxfId="293" priority="294" operator="lessThan">
      <formula>0</formula>
    </cfRule>
  </conditionalFormatting>
  <conditionalFormatting sqref="O672">
    <cfRule type="cellIs" dxfId="292" priority="293" operator="lessThan">
      <formula>0</formula>
    </cfRule>
  </conditionalFormatting>
  <conditionalFormatting sqref="O673:O674 O737:O764">
    <cfRule type="cellIs" dxfId="291" priority="292" operator="lessThan">
      <formula>0</formula>
    </cfRule>
  </conditionalFormatting>
  <conditionalFormatting sqref="C745">
    <cfRule type="containsText" dxfId="290" priority="286" operator="containsText" text="DPR not submitted">
      <formula>NOT(ISERROR(SEARCH("DPR not submitted",C745)))</formula>
    </cfRule>
    <cfRule type="containsText" dxfId="289" priority="287" operator="containsText" text="Yet to be approved">
      <formula>NOT(ISERROR(SEARCH("Yet to be approved",C745)))</formula>
    </cfRule>
  </conditionalFormatting>
  <conditionalFormatting sqref="C745">
    <cfRule type="containsText" dxfId="288" priority="285" operator="containsText" text="DPR not approved">
      <formula>NOT(ISERROR(SEARCH("DPR not approved",C745)))</formula>
    </cfRule>
  </conditionalFormatting>
  <conditionalFormatting sqref="C745">
    <cfRule type="containsText" dxfId="287" priority="283" operator="containsText" text="DPR returmed back for non compliance of queries">
      <formula>NOT(ISERROR(SEARCH("DPR returmed back for non compliance of queries",C745)))</formula>
    </cfRule>
    <cfRule type="containsText" dxfId="286" priority="284" operator="containsText" text="DPR not approved">
      <formula>NOT(ISERROR(SEARCH("DPR not approved",C745)))</formula>
    </cfRule>
  </conditionalFormatting>
  <conditionalFormatting sqref="C747:C751">
    <cfRule type="containsText" dxfId="285" priority="281" operator="containsText" text="DPR not submitted">
      <formula>NOT(ISERROR(SEARCH("DPR not submitted",C747)))</formula>
    </cfRule>
    <cfRule type="containsText" dxfId="284" priority="282" operator="containsText" text="Yet to be approved">
      <formula>NOT(ISERROR(SEARCH("Yet to be approved",C747)))</formula>
    </cfRule>
  </conditionalFormatting>
  <conditionalFormatting sqref="C747:C751">
    <cfRule type="containsText" dxfId="283" priority="280" operator="containsText" text="DPR not approved">
      <formula>NOT(ISERROR(SEARCH("DPR not approved",C747)))</formula>
    </cfRule>
  </conditionalFormatting>
  <conditionalFormatting sqref="C747:C751">
    <cfRule type="containsText" dxfId="282" priority="278" operator="containsText" text="DPR returmed back for non compliance of queries">
      <formula>NOT(ISERROR(SEARCH("DPR returmed back for non compliance of queries",C747)))</formula>
    </cfRule>
    <cfRule type="containsText" dxfId="281" priority="279" operator="containsText" text="DPR not approved">
      <formula>NOT(ISERROR(SEARCH("DPR not approved",C747)))</formula>
    </cfRule>
  </conditionalFormatting>
  <conditionalFormatting sqref="C741:C744 C752:C764">
    <cfRule type="containsText" dxfId="280" priority="288" operator="containsText" text="DPR not submitted">
      <formula>NOT(ISERROR(SEARCH("DPR not submitted",C741)))</formula>
    </cfRule>
    <cfRule type="containsText" dxfId="279" priority="289" operator="containsText" text="Yet to be approved">
      <formula>NOT(ISERROR(SEARCH("Yet to be approved",C741)))</formula>
    </cfRule>
  </conditionalFormatting>
  <conditionalFormatting sqref="C738:C739 C746">
    <cfRule type="containsText" dxfId="278" priority="290" operator="containsText" text="DPR not submitted">
      <formula>NOT(ISERROR(SEARCH("DPR not submitted",C738)))</formula>
    </cfRule>
    <cfRule type="containsText" dxfId="277" priority="291" operator="containsText" text="Yet to be approved">
      <formula>NOT(ISERROR(SEARCH("Yet to be approved",C738)))</formula>
    </cfRule>
  </conditionalFormatting>
  <conditionalFormatting sqref="C737">
    <cfRule type="containsText" dxfId="276" priority="276" operator="containsText" text="DPR not submitted">
      <formula>NOT(ISERROR(SEARCH("DPR not submitted",C737)))</formula>
    </cfRule>
    <cfRule type="containsText" dxfId="275" priority="277" operator="containsText" text="Yet to be approved">
      <formula>NOT(ISERROR(SEARCH("Yet to be approved",C737)))</formula>
    </cfRule>
  </conditionalFormatting>
  <conditionalFormatting sqref="C737">
    <cfRule type="containsText" dxfId="274" priority="275" operator="containsText" text="DPR not approved">
      <formula>NOT(ISERROR(SEARCH("DPR not approved",C737)))</formula>
    </cfRule>
  </conditionalFormatting>
  <conditionalFormatting sqref="C737">
    <cfRule type="containsText" dxfId="273" priority="273" operator="containsText" text="DPR returmed back for non compliance of queries">
      <formula>NOT(ISERROR(SEARCH("DPR returmed back for non compliance of queries",C737)))</formula>
    </cfRule>
    <cfRule type="containsText" dxfId="272" priority="274" operator="containsText" text="DPR not approved">
      <formula>NOT(ISERROR(SEARCH("DPR not approved",C737)))</formula>
    </cfRule>
  </conditionalFormatting>
  <conditionalFormatting sqref="C740">
    <cfRule type="containsText" dxfId="271" priority="271" operator="containsText" text="DPR not submitted">
      <formula>NOT(ISERROR(SEARCH("DPR not submitted",C740)))</formula>
    </cfRule>
    <cfRule type="containsText" dxfId="270" priority="272" operator="containsText" text="Yet to be approved">
      <formula>NOT(ISERROR(SEARCH("Yet to be approved",C740)))</formula>
    </cfRule>
  </conditionalFormatting>
  <conditionalFormatting sqref="C740">
    <cfRule type="containsText" dxfId="269" priority="270" operator="containsText" text="DPR not approved">
      <formula>NOT(ISERROR(SEARCH("DPR not approved",C740)))</formula>
    </cfRule>
  </conditionalFormatting>
  <conditionalFormatting sqref="C740">
    <cfRule type="containsText" dxfId="268" priority="268" operator="containsText" text="DPR returmed back for non compliance of queries">
      <formula>NOT(ISERROR(SEARCH("DPR returmed back for non compliance of queries",C740)))</formula>
    </cfRule>
    <cfRule type="containsText" dxfId="267" priority="269" operator="containsText" text="DPR not approved">
      <formula>NOT(ISERROR(SEARCH("DPR not approved",C740)))</formula>
    </cfRule>
  </conditionalFormatting>
  <conditionalFormatting sqref="O765">
    <cfRule type="cellIs" dxfId="266" priority="267" operator="lessThan">
      <formula>0</formula>
    </cfRule>
  </conditionalFormatting>
  <conditionalFormatting sqref="C135:C137">
    <cfRule type="containsText" dxfId="265" priority="246" operator="containsText" text="DPR not submitted">
      <formula>NOT(ISERROR(SEARCH("DPR not submitted",C135)))</formula>
    </cfRule>
    <cfRule type="containsText" dxfId="264" priority="247" operator="containsText" text="Yet to be approved">
      <formula>NOT(ISERROR(SEARCH("Yet to be approved",C135)))</formula>
    </cfRule>
  </conditionalFormatting>
  <conditionalFormatting sqref="C139:C143">
    <cfRule type="containsText" dxfId="263" priority="244" operator="containsText" text="DPR not submitted">
      <formula>NOT(ISERROR(SEARCH("DPR not submitted",C139)))</formula>
    </cfRule>
    <cfRule type="containsText" dxfId="262" priority="245" operator="containsText" text="Yet to be approved">
      <formula>NOT(ISERROR(SEARCH("Yet to be approved",C139)))</formula>
    </cfRule>
  </conditionalFormatting>
  <conditionalFormatting sqref="C162 C111:C118 C120:C133 C145:C160">
    <cfRule type="containsText" dxfId="261" priority="265" operator="containsText" text="DPR not submitted">
      <formula>NOT(ISERROR(SEARCH("DPR not submitted",C111)))</formula>
    </cfRule>
    <cfRule type="containsText" dxfId="260" priority="266" operator="containsText" text="Yet to be approved">
      <formula>NOT(ISERROR(SEARCH("Yet to be approved",C111)))</formula>
    </cfRule>
  </conditionalFormatting>
  <conditionalFormatting sqref="C156">
    <cfRule type="containsText" dxfId="259" priority="264" operator="containsText" text="DPR not approved">
      <formula>NOT(ISERROR(SEARCH("DPR not approved",C156)))</formula>
    </cfRule>
  </conditionalFormatting>
  <conditionalFormatting sqref="C156">
    <cfRule type="containsText" dxfId="258" priority="262" operator="containsText" text="DPR returmed back for non compliance of queries">
      <formula>NOT(ISERROR(SEARCH("DPR returmed back for non compliance of queries",C156)))</formula>
    </cfRule>
    <cfRule type="containsText" dxfId="257" priority="263" operator="containsText" text="DPR not approved">
      <formula>NOT(ISERROR(SEARCH("DPR not approved",C156)))</formula>
    </cfRule>
  </conditionalFormatting>
  <conditionalFormatting sqref="C105">
    <cfRule type="containsText" dxfId="256" priority="260" operator="containsText" text="DPR not submitted">
      <formula>NOT(ISERROR(SEARCH("DPR not submitted",C105)))</formula>
    </cfRule>
    <cfRule type="containsText" dxfId="255" priority="261" operator="containsText" text="Yet to be approved">
      <formula>NOT(ISERROR(SEARCH("Yet to be approved",C105)))</formula>
    </cfRule>
  </conditionalFormatting>
  <conditionalFormatting sqref="C110">
    <cfRule type="containsText" dxfId="254" priority="258" operator="containsText" text="DPR not submitted">
      <formula>NOT(ISERROR(SEARCH("DPR not submitted",C110)))</formula>
    </cfRule>
    <cfRule type="containsText" dxfId="253" priority="259" operator="containsText" text="Yet to be approved">
      <formula>NOT(ISERROR(SEARCH("Yet to be approved",C110)))</formula>
    </cfRule>
  </conditionalFormatting>
  <conditionalFormatting sqref="C119">
    <cfRule type="containsText" dxfId="252" priority="256" operator="containsText" text="DPR not submitted">
      <formula>NOT(ISERROR(SEARCH("DPR not submitted",C119)))</formula>
    </cfRule>
    <cfRule type="containsText" dxfId="251" priority="257" operator="containsText" text="Yet to be approved">
      <formula>NOT(ISERROR(SEARCH("Yet to be approved",C119)))</formula>
    </cfRule>
  </conditionalFormatting>
  <conditionalFormatting sqref="C134">
    <cfRule type="containsText" dxfId="250" priority="254" operator="containsText" text="DPR not submitted">
      <formula>NOT(ISERROR(SEARCH("DPR not submitted",C134)))</formula>
    </cfRule>
    <cfRule type="containsText" dxfId="249" priority="255" operator="containsText" text="Yet to be approved">
      <formula>NOT(ISERROR(SEARCH("Yet to be approved",C134)))</formula>
    </cfRule>
  </conditionalFormatting>
  <conditionalFormatting sqref="C138">
    <cfRule type="containsText" dxfId="248" priority="252" operator="containsText" text="DPR not submitted">
      <formula>NOT(ISERROR(SEARCH("DPR not submitted",C138)))</formula>
    </cfRule>
    <cfRule type="containsText" dxfId="247" priority="253" operator="containsText" text="Yet to be approved">
      <formula>NOT(ISERROR(SEARCH("Yet to be approved",C138)))</formula>
    </cfRule>
  </conditionalFormatting>
  <conditionalFormatting sqref="C144">
    <cfRule type="containsText" dxfId="246" priority="250" operator="containsText" text="DPR not submitted">
      <formula>NOT(ISERROR(SEARCH("DPR not submitted",C144)))</formula>
    </cfRule>
    <cfRule type="containsText" dxfId="245" priority="251" operator="containsText" text="Yet to be approved">
      <formula>NOT(ISERROR(SEARCH("Yet to be approved",C144)))</formula>
    </cfRule>
  </conditionalFormatting>
  <conditionalFormatting sqref="C164 C166">
    <cfRule type="containsText" dxfId="244" priority="248" operator="containsText" text="DPR not submitted">
      <formula>NOT(ISERROR(SEARCH("DPR not submitted",C164)))</formula>
    </cfRule>
    <cfRule type="containsText" dxfId="243" priority="249" operator="containsText" text="Yet to be approved">
      <formula>NOT(ISERROR(SEARCH("Yet to be approved",C164)))</formula>
    </cfRule>
  </conditionalFormatting>
  <conditionalFormatting sqref="C161">
    <cfRule type="containsText" dxfId="242" priority="242" operator="containsText" text="DPR not submitted">
      <formula>NOT(ISERROR(SEARCH("DPR not submitted",C161)))</formula>
    </cfRule>
    <cfRule type="containsText" dxfId="241" priority="243" operator="containsText" text="Yet to be approved">
      <formula>NOT(ISERROR(SEARCH("Yet to be approved",C161)))</formula>
    </cfRule>
  </conditionalFormatting>
  <conditionalFormatting sqref="C161">
    <cfRule type="containsText" dxfId="240" priority="241" operator="containsText" text="DPR not approved">
      <formula>NOT(ISERROR(SEARCH("DPR not approved",C161)))</formula>
    </cfRule>
  </conditionalFormatting>
  <conditionalFormatting sqref="C161">
    <cfRule type="containsText" dxfId="239" priority="239" operator="containsText" text="DPR returmed back for non compliance of queries">
      <formula>NOT(ISERROR(SEARCH("DPR returmed back for non compliance of queries",C161)))</formula>
    </cfRule>
    <cfRule type="containsText" dxfId="238" priority="240" operator="containsText" text="DPR not approved">
      <formula>NOT(ISERROR(SEARCH("DPR not approved",C161)))</formula>
    </cfRule>
  </conditionalFormatting>
  <conditionalFormatting sqref="C163">
    <cfRule type="containsText" dxfId="237" priority="237" operator="containsText" text="DPR not submitted">
      <formula>NOT(ISERROR(SEARCH("DPR not submitted",C163)))</formula>
    </cfRule>
    <cfRule type="containsText" dxfId="236" priority="238" operator="containsText" text="Yet to be approved">
      <formula>NOT(ISERROR(SEARCH("Yet to be approved",C163)))</formula>
    </cfRule>
  </conditionalFormatting>
  <conditionalFormatting sqref="C163">
    <cfRule type="containsText" dxfId="235" priority="236" operator="containsText" text="DPR not approved">
      <formula>NOT(ISERROR(SEARCH("DPR not approved",C163)))</formula>
    </cfRule>
  </conditionalFormatting>
  <conditionalFormatting sqref="C163">
    <cfRule type="containsText" dxfId="234" priority="234" operator="containsText" text="DPR returmed back for non compliance of queries">
      <formula>NOT(ISERROR(SEARCH("DPR returmed back for non compliance of queries",C163)))</formula>
    </cfRule>
    <cfRule type="containsText" dxfId="233" priority="235" operator="containsText" text="DPR not approved">
      <formula>NOT(ISERROR(SEARCH("DPR not approved",C163)))</formula>
    </cfRule>
  </conditionalFormatting>
  <conditionalFormatting sqref="C165">
    <cfRule type="containsText" dxfId="232" priority="232" operator="containsText" text="DPR not submitted">
      <formula>NOT(ISERROR(SEARCH("DPR not submitted",C165)))</formula>
    </cfRule>
    <cfRule type="containsText" dxfId="231" priority="233" operator="containsText" text="Yet to be approved">
      <formula>NOT(ISERROR(SEARCH("Yet to be approved",C165)))</formula>
    </cfRule>
  </conditionalFormatting>
  <conditionalFormatting sqref="C165">
    <cfRule type="containsText" dxfId="230" priority="231" operator="containsText" text="DPR not approved">
      <formula>NOT(ISERROR(SEARCH("DPR not approved",C165)))</formula>
    </cfRule>
  </conditionalFormatting>
  <conditionalFormatting sqref="C165">
    <cfRule type="containsText" dxfId="229" priority="229" operator="containsText" text="DPR returmed back for non compliance of queries">
      <formula>NOT(ISERROR(SEARCH("DPR returmed back for non compliance of queries",C165)))</formula>
    </cfRule>
    <cfRule type="containsText" dxfId="228" priority="230" operator="containsText" text="DPR not approved">
      <formula>NOT(ISERROR(SEARCH("DPR not approved",C165)))</formula>
    </cfRule>
  </conditionalFormatting>
  <conditionalFormatting sqref="C230:C232">
    <cfRule type="containsText" dxfId="227" priority="208" operator="containsText" text="DPR not submitted">
      <formula>NOT(ISERROR(SEARCH("DPR not submitted",C230)))</formula>
    </cfRule>
    <cfRule type="containsText" dxfId="226" priority="209" operator="containsText" text="Yet to be approved">
      <formula>NOT(ISERROR(SEARCH("Yet to be approved",C230)))</formula>
    </cfRule>
  </conditionalFormatting>
  <conditionalFormatting sqref="C234:C238">
    <cfRule type="containsText" dxfId="225" priority="206" operator="containsText" text="DPR not submitted">
      <formula>NOT(ISERROR(SEARCH("DPR not submitted",C234)))</formula>
    </cfRule>
    <cfRule type="containsText" dxfId="224" priority="207" operator="containsText" text="Yet to be approved">
      <formula>NOT(ISERROR(SEARCH("Yet to be approved",C234)))</formula>
    </cfRule>
  </conditionalFormatting>
  <conditionalFormatting sqref="C257 C206:C213 C215:C228 C240:C255">
    <cfRule type="containsText" dxfId="223" priority="227" operator="containsText" text="DPR not submitted">
      <formula>NOT(ISERROR(SEARCH("DPR not submitted",C206)))</formula>
    </cfRule>
    <cfRule type="containsText" dxfId="222" priority="228" operator="containsText" text="Yet to be approved">
      <formula>NOT(ISERROR(SEARCH("Yet to be approved",C206)))</formula>
    </cfRule>
  </conditionalFormatting>
  <conditionalFormatting sqref="C251">
    <cfRule type="containsText" dxfId="221" priority="226" operator="containsText" text="DPR not approved">
      <formula>NOT(ISERROR(SEARCH("DPR not approved",C251)))</formula>
    </cfRule>
  </conditionalFormatting>
  <conditionalFormatting sqref="C251">
    <cfRule type="containsText" dxfId="220" priority="224" operator="containsText" text="DPR returmed back for non compliance of queries">
      <formula>NOT(ISERROR(SEARCH("DPR returmed back for non compliance of queries",C251)))</formula>
    </cfRule>
    <cfRule type="containsText" dxfId="219" priority="225" operator="containsText" text="DPR not approved">
      <formula>NOT(ISERROR(SEARCH("DPR not approved",C251)))</formula>
    </cfRule>
  </conditionalFormatting>
  <conditionalFormatting sqref="C200">
    <cfRule type="containsText" dxfId="218" priority="222" operator="containsText" text="DPR not submitted">
      <formula>NOT(ISERROR(SEARCH("DPR not submitted",C200)))</formula>
    </cfRule>
    <cfRule type="containsText" dxfId="217" priority="223" operator="containsText" text="Yet to be approved">
      <formula>NOT(ISERROR(SEARCH("Yet to be approved",C200)))</formula>
    </cfRule>
  </conditionalFormatting>
  <conditionalFormatting sqref="C205">
    <cfRule type="containsText" dxfId="216" priority="220" operator="containsText" text="DPR not submitted">
      <formula>NOT(ISERROR(SEARCH("DPR not submitted",C205)))</formula>
    </cfRule>
    <cfRule type="containsText" dxfId="215" priority="221" operator="containsText" text="Yet to be approved">
      <formula>NOT(ISERROR(SEARCH("Yet to be approved",C205)))</formula>
    </cfRule>
  </conditionalFormatting>
  <conditionalFormatting sqref="C214">
    <cfRule type="containsText" dxfId="214" priority="218" operator="containsText" text="DPR not submitted">
      <formula>NOT(ISERROR(SEARCH("DPR not submitted",C214)))</formula>
    </cfRule>
    <cfRule type="containsText" dxfId="213" priority="219" operator="containsText" text="Yet to be approved">
      <formula>NOT(ISERROR(SEARCH("Yet to be approved",C214)))</formula>
    </cfRule>
  </conditionalFormatting>
  <conditionalFormatting sqref="C229">
    <cfRule type="containsText" dxfId="212" priority="216" operator="containsText" text="DPR not submitted">
      <formula>NOT(ISERROR(SEARCH("DPR not submitted",C229)))</formula>
    </cfRule>
    <cfRule type="containsText" dxfId="211" priority="217" operator="containsText" text="Yet to be approved">
      <formula>NOT(ISERROR(SEARCH("Yet to be approved",C229)))</formula>
    </cfRule>
  </conditionalFormatting>
  <conditionalFormatting sqref="C233">
    <cfRule type="containsText" dxfId="210" priority="214" operator="containsText" text="DPR not submitted">
      <formula>NOT(ISERROR(SEARCH("DPR not submitted",C233)))</formula>
    </cfRule>
    <cfRule type="containsText" dxfId="209" priority="215" operator="containsText" text="Yet to be approved">
      <formula>NOT(ISERROR(SEARCH("Yet to be approved",C233)))</formula>
    </cfRule>
  </conditionalFormatting>
  <conditionalFormatting sqref="C239">
    <cfRule type="containsText" dxfId="208" priority="212" operator="containsText" text="DPR not submitted">
      <formula>NOT(ISERROR(SEARCH("DPR not submitted",C239)))</formula>
    </cfRule>
    <cfRule type="containsText" dxfId="207" priority="213" operator="containsText" text="Yet to be approved">
      <formula>NOT(ISERROR(SEARCH("Yet to be approved",C239)))</formula>
    </cfRule>
  </conditionalFormatting>
  <conditionalFormatting sqref="C259 C261">
    <cfRule type="containsText" dxfId="206" priority="210" operator="containsText" text="DPR not submitted">
      <formula>NOT(ISERROR(SEARCH("DPR not submitted",C259)))</formula>
    </cfRule>
    <cfRule type="containsText" dxfId="205" priority="211" operator="containsText" text="Yet to be approved">
      <formula>NOT(ISERROR(SEARCH("Yet to be approved",C259)))</formula>
    </cfRule>
  </conditionalFormatting>
  <conditionalFormatting sqref="C256">
    <cfRule type="containsText" dxfId="204" priority="204" operator="containsText" text="DPR not submitted">
      <formula>NOT(ISERROR(SEARCH("DPR not submitted",C256)))</formula>
    </cfRule>
    <cfRule type="containsText" dxfId="203" priority="205" operator="containsText" text="Yet to be approved">
      <formula>NOT(ISERROR(SEARCH("Yet to be approved",C256)))</formula>
    </cfRule>
  </conditionalFormatting>
  <conditionalFormatting sqref="C256">
    <cfRule type="containsText" dxfId="202" priority="203" operator="containsText" text="DPR not approved">
      <formula>NOT(ISERROR(SEARCH("DPR not approved",C256)))</formula>
    </cfRule>
  </conditionalFormatting>
  <conditionalFormatting sqref="C256">
    <cfRule type="containsText" dxfId="201" priority="201" operator="containsText" text="DPR returmed back for non compliance of queries">
      <formula>NOT(ISERROR(SEARCH("DPR returmed back for non compliance of queries",C256)))</formula>
    </cfRule>
    <cfRule type="containsText" dxfId="200" priority="202" operator="containsText" text="DPR not approved">
      <formula>NOT(ISERROR(SEARCH("DPR not approved",C256)))</formula>
    </cfRule>
  </conditionalFormatting>
  <conditionalFormatting sqref="C258">
    <cfRule type="containsText" dxfId="199" priority="199" operator="containsText" text="DPR not submitted">
      <formula>NOT(ISERROR(SEARCH("DPR not submitted",C258)))</formula>
    </cfRule>
    <cfRule type="containsText" dxfId="198" priority="200" operator="containsText" text="Yet to be approved">
      <formula>NOT(ISERROR(SEARCH("Yet to be approved",C258)))</formula>
    </cfRule>
  </conditionalFormatting>
  <conditionalFormatting sqref="C258">
    <cfRule type="containsText" dxfId="197" priority="198" operator="containsText" text="DPR not approved">
      <formula>NOT(ISERROR(SEARCH("DPR not approved",C258)))</formula>
    </cfRule>
  </conditionalFormatting>
  <conditionalFormatting sqref="C258">
    <cfRule type="containsText" dxfId="196" priority="196" operator="containsText" text="DPR returmed back for non compliance of queries">
      <formula>NOT(ISERROR(SEARCH("DPR returmed back for non compliance of queries",C258)))</formula>
    </cfRule>
    <cfRule type="containsText" dxfId="195" priority="197" operator="containsText" text="DPR not approved">
      <formula>NOT(ISERROR(SEARCH("DPR not approved",C258)))</formula>
    </cfRule>
  </conditionalFormatting>
  <conditionalFormatting sqref="C260">
    <cfRule type="containsText" dxfId="194" priority="194" operator="containsText" text="DPR not submitted">
      <formula>NOT(ISERROR(SEARCH("DPR not submitted",C260)))</formula>
    </cfRule>
    <cfRule type="containsText" dxfId="193" priority="195" operator="containsText" text="Yet to be approved">
      <formula>NOT(ISERROR(SEARCH("Yet to be approved",C260)))</formula>
    </cfRule>
  </conditionalFormatting>
  <conditionalFormatting sqref="C260">
    <cfRule type="containsText" dxfId="192" priority="193" operator="containsText" text="DPR not approved">
      <formula>NOT(ISERROR(SEARCH("DPR not approved",C260)))</formula>
    </cfRule>
  </conditionalFormatting>
  <conditionalFormatting sqref="C260">
    <cfRule type="containsText" dxfId="191" priority="191" operator="containsText" text="DPR returmed back for non compliance of queries">
      <formula>NOT(ISERROR(SEARCH("DPR returmed back for non compliance of queries",C260)))</formula>
    </cfRule>
    <cfRule type="containsText" dxfId="190" priority="192" operator="containsText" text="DPR not approved">
      <formula>NOT(ISERROR(SEARCH("DPR not approved",C260)))</formula>
    </cfRule>
  </conditionalFormatting>
  <conditionalFormatting sqref="C325:C327">
    <cfRule type="containsText" dxfId="189" priority="170" operator="containsText" text="DPR not submitted">
      <formula>NOT(ISERROR(SEARCH("DPR not submitted",C325)))</formula>
    </cfRule>
    <cfRule type="containsText" dxfId="188" priority="171" operator="containsText" text="Yet to be approved">
      <formula>NOT(ISERROR(SEARCH("Yet to be approved",C325)))</formula>
    </cfRule>
  </conditionalFormatting>
  <conditionalFormatting sqref="C329:C333">
    <cfRule type="containsText" dxfId="187" priority="168" operator="containsText" text="DPR not submitted">
      <formula>NOT(ISERROR(SEARCH("DPR not submitted",C329)))</formula>
    </cfRule>
    <cfRule type="containsText" dxfId="186" priority="169" operator="containsText" text="Yet to be approved">
      <formula>NOT(ISERROR(SEARCH("Yet to be approved",C329)))</formula>
    </cfRule>
  </conditionalFormatting>
  <conditionalFormatting sqref="C352 C301:C308 C310:C323 C335:C350">
    <cfRule type="containsText" dxfId="185" priority="189" operator="containsText" text="DPR not submitted">
      <formula>NOT(ISERROR(SEARCH("DPR not submitted",C301)))</formula>
    </cfRule>
    <cfRule type="containsText" dxfId="184" priority="190" operator="containsText" text="Yet to be approved">
      <formula>NOT(ISERROR(SEARCH("Yet to be approved",C301)))</formula>
    </cfRule>
  </conditionalFormatting>
  <conditionalFormatting sqref="C346">
    <cfRule type="containsText" dxfId="183" priority="188" operator="containsText" text="DPR not approved">
      <formula>NOT(ISERROR(SEARCH("DPR not approved",C346)))</formula>
    </cfRule>
  </conditionalFormatting>
  <conditionalFormatting sqref="C346">
    <cfRule type="containsText" dxfId="182" priority="186" operator="containsText" text="DPR returmed back for non compliance of queries">
      <formula>NOT(ISERROR(SEARCH("DPR returmed back for non compliance of queries",C346)))</formula>
    </cfRule>
    <cfRule type="containsText" dxfId="181" priority="187" operator="containsText" text="DPR not approved">
      <formula>NOT(ISERROR(SEARCH("DPR not approved",C346)))</formula>
    </cfRule>
  </conditionalFormatting>
  <conditionalFormatting sqref="C295">
    <cfRule type="containsText" dxfId="180" priority="184" operator="containsText" text="DPR not submitted">
      <formula>NOT(ISERROR(SEARCH("DPR not submitted",C295)))</formula>
    </cfRule>
    <cfRule type="containsText" dxfId="179" priority="185" operator="containsText" text="Yet to be approved">
      <formula>NOT(ISERROR(SEARCH("Yet to be approved",C295)))</formula>
    </cfRule>
  </conditionalFormatting>
  <conditionalFormatting sqref="C300">
    <cfRule type="containsText" dxfId="178" priority="182" operator="containsText" text="DPR not submitted">
      <formula>NOT(ISERROR(SEARCH("DPR not submitted",C300)))</formula>
    </cfRule>
    <cfRule type="containsText" dxfId="177" priority="183" operator="containsText" text="Yet to be approved">
      <formula>NOT(ISERROR(SEARCH("Yet to be approved",C300)))</formula>
    </cfRule>
  </conditionalFormatting>
  <conditionalFormatting sqref="C309">
    <cfRule type="containsText" dxfId="176" priority="180" operator="containsText" text="DPR not submitted">
      <formula>NOT(ISERROR(SEARCH("DPR not submitted",C309)))</formula>
    </cfRule>
    <cfRule type="containsText" dxfId="175" priority="181" operator="containsText" text="Yet to be approved">
      <formula>NOT(ISERROR(SEARCH("Yet to be approved",C309)))</formula>
    </cfRule>
  </conditionalFormatting>
  <conditionalFormatting sqref="C324">
    <cfRule type="containsText" dxfId="174" priority="178" operator="containsText" text="DPR not submitted">
      <formula>NOT(ISERROR(SEARCH("DPR not submitted",C324)))</formula>
    </cfRule>
    <cfRule type="containsText" dxfId="173" priority="179" operator="containsText" text="Yet to be approved">
      <formula>NOT(ISERROR(SEARCH("Yet to be approved",C324)))</formula>
    </cfRule>
  </conditionalFormatting>
  <conditionalFormatting sqref="C328">
    <cfRule type="containsText" dxfId="172" priority="176" operator="containsText" text="DPR not submitted">
      <formula>NOT(ISERROR(SEARCH("DPR not submitted",C328)))</formula>
    </cfRule>
    <cfRule type="containsText" dxfId="171" priority="177" operator="containsText" text="Yet to be approved">
      <formula>NOT(ISERROR(SEARCH("Yet to be approved",C328)))</formula>
    </cfRule>
  </conditionalFormatting>
  <conditionalFormatting sqref="C334">
    <cfRule type="containsText" dxfId="170" priority="174" operator="containsText" text="DPR not submitted">
      <formula>NOT(ISERROR(SEARCH("DPR not submitted",C334)))</formula>
    </cfRule>
    <cfRule type="containsText" dxfId="169" priority="175" operator="containsText" text="Yet to be approved">
      <formula>NOT(ISERROR(SEARCH("Yet to be approved",C334)))</formula>
    </cfRule>
  </conditionalFormatting>
  <conditionalFormatting sqref="C354 C356">
    <cfRule type="containsText" dxfId="168" priority="172" operator="containsText" text="DPR not submitted">
      <formula>NOT(ISERROR(SEARCH("DPR not submitted",C354)))</formula>
    </cfRule>
    <cfRule type="containsText" dxfId="167" priority="173" operator="containsText" text="Yet to be approved">
      <formula>NOT(ISERROR(SEARCH("Yet to be approved",C354)))</formula>
    </cfRule>
  </conditionalFormatting>
  <conditionalFormatting sqref="C351">
    <cfRule type="containsText" dxfId="166" priority="166" operator="containsText" text="DPR not submitted">
      <formula>NOT(ISERROR(SEARCH("DPR not submitted",C351)))</formula>
    </cfRule>
    <cfRule type="containsText" dxfId="165" priority="167" operator="containsText" text="Yet to be approved">
      <formula>NOT(ISERROR(SEARCH("Yet to be approved",C351)))</formula>
    </cfRule>
  </conditionalFormatting>
  <conditionalFormatting sqref="C351">
    <cfRule type="containsText" dxfId="164" priority="165" operator="containsText" text="DPR not approved">
      <formula>NOT(ISERROR(SEARCH("DPR not approved",C351)))</formula>
    </cfRule>
  </conditionalFormatting>
  <conditionalFormatting sqref="C351">
    <cfRule type="containsText" dxfId="163" priority="163" operator="containsText" text="DPR returmed back for non compliance of queries">
      <formula>NOT(ISERROR(SEARCH("DPR returmed back for non compliance of queries",C351)))</formula>
    </cfRule>
    <cfRule type="containsText" dxfId="162" priority="164" operator="containsText" text="DPR not approved">
      <formula>NOT(ISERROR(SEARCH("DPR not approved",C351)))</formula>
    </cfRule>
  </conditionalFormatting>
  <conditionalFormatting sqref="C353">
    <cfRule type="containsText" dxfId="161" priority="161" operator="containsText" text="DPR not submitted">
      <formula>NOT(ISERROR(SEARCH("DPR not submitted",C353)))</formula>
    </cfRule>
    <cfRule type="containsText" dxfId="160" priority="162" operator="containsText" text="Yet to be approved">
      <formula>NOT(ISERROR(SEARCH("Yet to be approved",C353)))</formula>
    </cfRule>
  </conditionalFormatting>
  <conditionalFormatting sqref="C353">
    <cfRule type="containsText" dxfId="159" priority="160" operator="containsText" text="DPR not approved">
      <formula>NOT(ISERROR(SEARCH("DPR not approved",C353)))</formula>
    </cfRule>
  </conditionalFormatting>
  <conditionalFormatting sqref="C353">
    <cfRule type="containsText" dxfId="158" priority="158" operator="containsText" text="DPR returmed back for non compliance of queries">
      <formula>NOT(ISERROR(SEARCH("DPR returmed back for non compliance of queries",C353)))</formula>
    </cfRule>
    <cfRule type="containsText" dxfId="157" priority="159" operator="containsText" text="DPR not approved">
      <formula>NOT(ISERROR(SEARCH("DPR not approved",C353)))</formula>
    </cfRule>
  </conditionalFormatting>
  <conditionalFormatting sqref="C355">
    <cfRule type="containsText" dxfId="156" priority="156" operator="containsText" text="DPR not submitted">
      <formula>NOT(ISERROR(SEARCH("DPR not submitted",C355)))</formula>
    </cfRule>
    <cfRule type="containsText" dxfId="155" priority="157" operator="containsText" text="Yet to be approved">
      <formula>NOT(ISERROR(SEARCH("Yet to be approved",C355)))</formula>
    </cfRule>
  </conditionalFormatting>
  <conditionalFormatting sqref="C355">
    <cfRule type="containsText" dxfId="154" priority="155" operator="containsText" text="DPR not approved">
      <formula>NOT(ISERROR(SEARCH("DPR not approved",C355)))</formula>
    </cfRule>
  </conditionalFormatting>
  <conditionalFormatting sqref="C355">
    <cfRule type="containsText" dxfId="153" priority="153" operator="containsText" text="DPR returmed back for non compliance of queries">
      <formula>NOT(ISERROR(SEARCH("DPR returmed back for non compliance of queries",C355)))</formula>
    </cfRule>
    <cfRule type="containsText" dxfId="152" priority="154" operator="containsText" text="DPR not approved">
      <formula>NOT(ISERROR(SEARCH("DPR not approved",C355)))</formula>
    </cfRule>
  </conditionalFormatting>
  <conditionalFormatting sqref="C420:C422">
    <cfRule type="containsText" dxfId="151" priority="132" operator="containsText" text="DPR not submitted">
      <formula>NOT(ISERROR(SEARCH("DPR not submitted",C420)))</formula>
    </cfRule>
    <cfRule type="containsText" dxfId="150" priority="133" operator="containsText" text="Yet to be approved">
      <formula>NOT(ISERROR(SEARCH("Yet to be approved",C420)))</formula>
    </cfRule>
  </conditionalFormatting>
  <conditionalFormatting sqref="C424:C428">
    <cfRule type="containsText" dxfId="149" priority="130" operator="containsText" text="DPR not submitted">
      <formula>NOT(ISERROR(SEARCH("DPR not submitted",C424)))</formula>
    </cfRule>
    <cfRule type="containsText" dxfId="148" priority="131" operator="containsText" text="Yet to be approved">
      <formula>NOT(ISERROR(SEARCH("Yet to be approved",C424)))</formula>
    </cfRule>
  </conditionalFormatting>
  <conditionalFormatting sqref="C447 C396:C403 C405:C418 C430:C445">
    <cfRule type="containsText" dxfId="147" priority="151" operator="containsText" text="DPR not submitted">
      <formula>NOT(ISERROR(SEARCH("DPR not submitted",C396)))</formula>
    </cfRule>
    <cfRule type="containsText" dxfId="146" priority="152" operator="containsText" text="Yet to be approved">
      <formula>NOT(ISERROR(SEARCH("Yet to be approved",C396)))</formula>
    </cfRule>
  </conditionalFormatting>
  <conditionalFormatting sqref="C441">
    <cfRule type="containsText" dxfId="145" priority="150" operator="containsText" text="DPR not approved">
      <formula>NOT(ISERROR(SEARCH("DPR not approved",C441)))</formula>
    </cfRule>
  </conditionalFormatting>
  <conditionalFormatting sqref="C441">
    <cfRule type="containsText" dxfId="144" priority="148" operator="containsText" text="DPR returmed back for non compliance of queries">
      <formula>NOT(ISERROR(SEARCH("DPR returmed back for non compliance of queries",C441)))</formula>
    </cfRule>
    <cfRule type="containsText" dxfId="143" priority="149" operator="containsText" text="DPR not approved">
      <formula>NOT(ISERROR(SEARCH("DPR not approved",C441)))</formula>
    </cfRule>
  </conditionalFormatting>
  <conditionalFormatting sqref="C390">
    <cfRule type="containsText" dxfId="142" priority="146" operator="containsText" text="DPR not submitted">
      <formula>NOT(ISERROR(SEARCH("DPR not submitted",C390)))</formula>
    </cfRule>
    <cfRule type="containsText" dxfId="141" priority="147" operator="containsText" text="Yet to be approved">
      <formula>NOT(ISERROR(SEARCH("Yet to be approved",C390)))</formula>
    </cfRule>
  </conditionalFormatting>
  <conditionalFormatting sqref="C395">
    <cfRule type="containsText" dxfId="140" priority="144" operator="containsText" text="DPR not submitted">
      <formula>NOT(ISERROR(SEARCH("DPR not submitted",C395)))</formula>
    </cfRule>
    <cfRule type="containsText" dxfId="139" priority="145" operator="containsText" text="Yet to be approved">
      <formula>NOT(ISERROR(SEARCH("Yet to be approved",C395)))</formula>
    </cfRule>
  </conditionalFormatting>
  <conditionalFormatting sqref="C404">
    <cfRule type="containsText" dxfId="138" priority="142" operator="containsText" text="DPR not submitted">
      <formula>NOT(ISERROR(SEARCH("DPR not submitted",C404)))</formula>
    </cfRule>
    <cfRule type="containsText" dxfId="137" priority="143" operator="containsText" text="Yet to be approved">
      <formula>NOT(ISERROR(SEARCH("Yet to be approved",C404)))</formula>
    </cfRule>
  </conditionalFormatting>
  <conditionalFormatting sqref="C419">
    <cfRule type="containsText" dxfId="136" priority="140" operator="containsText" text="DPR not submitted">
      <formula>NOT(ISERROR(SEARCH("DPR not submitted",C419)))</formula>
    </cfRule>
    <cfRule type="containsText" dxfId="135" priority="141" operator="containsText" text="Yet to be approved">
      <formula>NOT(ISERROR(SEARCH("Yet to be approved",C419)))</formula>
    </cfRule>
  </conditionalFormatting>
  <conditionalFormatting sqref="C423">
    <cfRule type="containsText" dxfId="134" priority="138" operator="containsText" text="DPR not submitted">
      <formula>NOT(ISERROR(SEARCH("DPR not submitted",C423)))</formula>
    </cfRule>
    <cfRule type="containsText" dxfId="133" priority="139" operator="containsText" text="Yet to be approved">
      <formula>NOT(ISERROR(SEARCH("Yet to be approved",C423)))</formula>
    </cfRule>
  </conditionalFormatting>
  <conditionalFormatting sqref="C429">
    <cfRule type="containsText" dxfId="132" priority="136" operator="containsText" text="DPR not submitted">
      <formula>NOT(ISERROR(SEARCH("DPR not submitted",C429)))</formula>
    </cfRule>
    <cfRule type="containsText" dxfId="131" priority="137" operator="containsText" text="Yet to be approved">
      <formula>NOT(ISERROR(SEARCH("Yet to be approved",C429)))</formula>
    </cfRule>
  </conditionalFormatting>
  <conditionalFormatting sqref="C449 C451">
    <cfRule type="containsText" dxfId="130" priority="134" operator="containsText" text="DPR not submitted">
      <formula>NOT(ISERROR(SEARCH("DPR not submitted",C449)))</formula>
    </cfRule>
    <cfRule type="containsText" dxfId="129" priority="135" operator="containsText" text="Yet to be approved">
      <formula>NOT(ISERROR(SEARCH("Yet to be approved",C449)))</formula>
    </cfRule>
  </conditionalFormatting>
  <conditionalFormatting sqref="C446">
    <cfRule type="containsText" dxfId="128" priority="128" operator="containsText" text="DPR not submitted">
      <formula>NOT(ISERROR(SEARCH("DPR not submitted",C446)))</formula>
    </cfRule>
    <cfRule type="containsText" dxfId="127" priority="129" operator="containsText" text="Yet to be approved">
      <formula>NOT(ISERROR(SEARCH("Yet to be approved",C446)))</formula>
    </cfRule>
  </conditionalFormatting>
  <conditionalFormatting sqref="C446">
    <cfRule type="containsText" dxfId="126" priority="127" operator="containsText" text="DPR not approved">
      <formula>NOT(ISERROR(SEARCH("DPR not approved",C446)))</formula>
    </cfRule>
  </conditionalFormatting>
  <conditionalFormatting sqref="C446">
    <cfRule type="containsText" dxfId="125" priority="125" operator="containsText" text="DPR returmed back for non compliance of queries">
      <formula>NOT(ISERROR(SEARCH("DPR returmed back for non compliance of queries",C446)))</formula>
    </cfRule>
    <cfRule type="containsText" dxfId="124" priority="126" operator="containsText" text="DPR not approved">
      <formula>NOT(ISERROR(SEARCH("DPR not approved",C446)))</formula>
    </cfRule>
  </conditionalFormatting>
  <conditionalFormatting sqref="C448">
    <cfRule type="containsText" dxfId="123" priority="123" operator="containsText" text="DPR not submitted">
      <formula>NOT(ISERROR(SEARCH("DPR not submitted",C448)))</formula>
    </cfRule>
    <cfRule type="containsText" dxfId="122" priority="124" operator="containsText" text="Yet to be approved">
      <formula>NOT(ISERROR(SEARCH("Yet to be approved",C448)))</formula>
    </cfRule>
  </conditionalFormatting>
  <conditionalFormatting sqref="C448">
    <cfRule type="containsText" dxfId="121" priority="122" operator="containsText" text="DPR not approved">
      <formula>NOT(ISERROR(SEARCH("DPR not approved",C448)))</formula>
    </cfRule>
  </conditionalFormatting>
  <conditionalFormatting sqref="C448">
    <cfRule type="containsText" dxfId="120" priority="120" operator="containsText" text="DPR returmed back for non compliance of queries">
      <formula>NOT(ISERROR(SEARCH("DPR returmed back for non compliance of queries",C448)))</formula>
    </cfRule>
    <cfRule type="containsText" dxfId="119" priority="121" operator="containsText" text="DPR not approved">
      <formula>NOT(ISERROR(SEARCH("DPR not approved",C448)))</formula>
    </cfRule>
  </conditionalFormatting>
  <conditionalFormatting sqref="C450">
    <cfRule type="containsText" dxfId="118" priority="118" operator="containsText" text="DPR not submitted">
      <formula>NOT(ISERROR(SEARCH("DPR not submitted",C450)))</formula>
    </cfRule>
    <cfRule type="containsText" dxfId="117" priority="119" operator="containsText" text="Yet to be approved">
      <formula>NOT(ISERROR(SEARCH("Yet to be approved",C450)))</formula>
    </cfRule>
  </conditionalFormatting>
  <conditionalFormatting sqref="C450">
    <cfRule type="containsText" dxfId="116" priority="117" operator="containsText" text="DPR not approved">
      <formula>NOT(ISERROR(SEARCH("DPR not approved",C450)))</formula>
    </cfRule>
  </conditionalFormatting>
  <conditionalFormatting sqref="C450">
    <cfRule type="containsText" dxfId="115" priority="115" operator="containsText" text="DPR returmed back for non compliance of queries">
      <formula>NOT(ISERROR(SEARCH("DPR returmed back for non compliance of queries",C450)))</formula>
    </cfRule>
    <cfRule type="containsText" dxfId="114" priority="116" operator="containsText" text="DPR not approved">
      <formula>NOT(ISERROR(SEARCH("DPR not approved",C450)))</formula>
    </cfRule>
  </conditionalFormatting>
  <conditionalFormatting sqref="C515:C517">
    <cfRule type="containsText" dxfId="113" priority="94" operator="containsText" text="DPR not submitted">
      <formula>NOT(ISERROR(SEARCH("DPR not submitted",C515)))</formula>
    </cfRule>
    <cfRule type="containsText" dxfId="112" priority="95" operator="containsText" text="Yet to be approved">
      <formula>NOT(ISERROR(SEARCH("Yet to be approved",C515)))</formula>
    </cfRule>
  </conditionalFormatting>
  <conditionalFormatting sqref="C519:C523">
    <cfRule type="containsText" dxfId="111" priority="92" operator="containsText" text="DPR not submitted">
      <formula>NOT(ISERROR(SEARCH("DPR not submitted",C519)))</formula>
    </cfRule>
    <cfRule type="containsText" dxfId="110" priority="93" operator="containsText" text="Yet to be approved">
      <formula>NOT(ISERROR(SEARCH("Yet to be approved",C519)))</formula>
    </cfRule>
  </conditionalFormatting>
  <conditionalFormatting sqref="C542 C491:C498 C500:C513 C525:C540">
    <cfRule type="containsText" dxfId="109" priority="113" operator="containsText" text="DPR not submitted">
      <formula>NOT(ISERROR(SEARCH("DPR not submitted",C491)))</formula>
    </cfRule>
    <cfRule type="containsText" dxfId="108" priority="114" operator="containsText" text="Yet to be approved">
      <formula>NOT(ISERROR(SEARCH("Yet to be approved",C491)))</formula>
    </cfRule>
  </conditionalFormatting>
  <conditionalFormatting sqref="C536">
    <cfRule type="containsText" dxfId="107" priority="112" operator="containsText" text="DPR not approved">
      <formula>NOT(ISERROR(SEARCH("DPR not approved",C536)))</formula>
    </cfRule>
  </conditionalFormatting>
  <conditionalFormatting sqref="C536">
    <cfRule type="containsText" dxfId="106" priority="110" operator="containsText" text="DPR returmed back for non compliance of queries">
      <formula>NOT(ISERROR(SEARCH("DPR returmed back for non compliance of queries",C536)))</formula>
    </cfRule>
    <cfRule type="containsText" dxfId="105" priority="111" operator="containsText" text="DPR not approved">
      <formula>NOT(ISERROR(SEARCH("DPR not approved",C536)))</formula>
    </cfRule>
  </conditionalFormatting>
  <conditionalFormatting sqref="C485">
    <cfRule type="containsText" dxfId="104" priority="108" operator="containsText" text="DPR not submitted">
      <formula>NOT(ISERROR(SEARCH("DPR not submitted",C485)))</formula>
    </cfRule>
    <cfRule type="containsText" dxfId="103" priority="109" operator="containsText" text="Yet to be approved">
      <formula>NOT(ISERROR(SEARCH("Yet to be approved",C485)))</formula>
    </cfRule>
  </conditionalFormatting>
  <conditionalFormatting sqref="C490">
    <cfRule type="containsText" dxfId="102" priority="106" operator="containsText" text="DPR not submitted">
      <formula>NOT(ISERROR(SEARCH("DPR not submitted",C490)))</formula>
    </cfRule>
    <cfRule type="containsText" dxfId="101" priority="107" operator="containsText" text="Yet to be approved">
      <formula>NOT(ISERROR(SEARCH("Yet to be approved",C490)))</formula>
    </cfRule>
  </conditionalFormatting>
  <conditionalFormatting sqref="C499">
    <cfRule type="containsText" dxfId="100" priority="104" operator="containsText" text="DPR not submitted">
      <formula>NOT(ISERROR(SEARCH("DPR not submitted",C499)))</formula>
    </cfRule>
    <cfRule type="containsText" dxfId="99" priority="105" operator="containsText" text="Yet to be approved">
      <formula>NOT(ISERROR(SEARCH("Yet to be approved",C499)))</formula>
    </cfRule>
  </conditionalFormatting>
  <conditionalFormatting sqref="C514">
    <cfRule type="containsText" dxfId="98" priority="102" operator="containsText" text="DPR not submitted">
      <formula>NOT(ISERROR(SEARCH("DPR not submitted",C514)))</formula>
    </cfRule>
    <cfRule type="containsText" dxfId="97" priority="103" operator="containsText" text="Yet to be approved">
      <formula>NOT(ISERROR(SEARCH("Yet to be approved",C514)))</formula>
    </cfRule>
  </conditionalFormatting>
  <conditionalFormatting sqref="C518">
    <cfRule type="containsText" dxfId="96" priority="100" operator="containsText" text="DPR not submitted">
      <formula>NOT(ISERROR(SEARCH("DPR not submitted",C518)))</formula>
    </cfRule>
    <cfRule type="containsText" dxfId="95" priority="101" operator="containsText" text="Yet to be approved">
      <formula>NOT(ISERROR(SEARCH("Yet to be approved",C518)))</formula>
    </cfRule>
  </conditionalFormatting>
  <conditionalFormatting sqref="C524">
    <cfRule type="containsText" dxfId="94" priority="98" operator="containsText" text="DPR not submitted">
      <formula>NOT(ISERROR(SEARCH("DPR not submitted",C524)))</formula>
    </cfRule>
    <cfRule type="containsText" dxfId="93" priority="99" operator="containsText" text="Yet to be approved">
      <formula>NOT(ISERROR(SEARCH("Yet to be approved",C524)))</formula>
    </cfRule>
  </conditionalFormatting>
  <conditionalFormatting sqref="C544 C546">
    <cfRule type="containsText" dxfId="92" priority="96" operator="containsText" text="DPR not submitted">
      <formula>NOT(ISERROR(SEARCH("DPR not submitted",C544)))</formula>
    </cfRule>
    <cfRule type="containsText" dxfId="91" priority="97" operator="containsText" text="Yet to be approved">
      <formula>NOT(ISERROR(SEARCH("Yet to be approved",C544)))</formula>
    </cfRule>
  </conditionalFormatting>
  <conditionalFormatting sqref="C541">
    <cfRule type="containsText" dxfId="90" priority="90" operator="containsText" text="DPR not submitted">
      <formula>NOT(ISERROR(SEARCH("DPR not submitted",C541)))</formula>
    </cfRule>
    <cfRule type="containsText" dxfId="89" priority="91" operator="containsText" text="Yet to be approved">
      <formula>NOT(ISERROR(SEARCH("Yet to be approved",C541)))</formula>
    </cfRule>
  </conditionalFormatting>
  <conditionalFormatting sqref="C541">
    <cfRule type="containsText" dxfId="88" priority="89" operator="containsText" text="DPR not approved">
      <formula>NOT(ISERROR(SEARCH("DPR not approved",C541)))</formula>
    </cfRule>
  </conditionalFormatting>
  <conditionalFormatting sqref="C541">
    <cfRule type="containsText" dxfId="87" priority="87" operator="containsText" text="DPR returmed back for non compliance of queries">
      <formula>NOT(ISERROR(SEARCH("DPR returmed back for non compliance of queries",C541)))</formula>
    </cfRule>
    <cfRule type="containsText" dxfId="86" priority="88" operator="containsText" text="DPR not approved">
      <formula>NOT(ISERROR(SEARCH("DPR not approved",C541)))</formula>
    </cfRule>
  </conditionalFormatting>
  <conditionalFormatting sqref="C543">
    <cfRule type="containsText" dxfId="85" priority="85" operator="containsText" text="DPR not submitted">
      <formula>NOT(ISERROR(SEARCH("DPR not submitted",C543)))</formula>
    </cfRule>
    <cfRule type="containsText" dxfId="84" priority="86" operator="containsText" text="Yet to be approved">
      <formula>NOT(ISERROR(SEARCH("Yet to be approved",C543)))</formula>
    </cfRule>
  </conditionalFormatting>
  <conditionalFormatting sqref="C543">
    <cfRule type="containsText" dxfId="83" priority="84" operator="containsText" text="DPR not approved">
      <formula>NOT(ISERROR(SEARCH("DPR not approved",C543)))</formula>
    </cfRule>
  </conditionalFormatting>
  <conditionalFormatting sqref="C543">
    <cfRule type="containsText" dxfId="82" priority="82" operator="containsText" text="DPR returmed back for non compliance of queries">
      <formula>NOT(ISERROR(SEARCH("DPR returmed back for non compliance of queries",C543)))</formula>
    </cfRule>
    <cfRule type="containsText" dxfId="81" priority="83" operator="containsText" text="DPR not approved">
      <formula>NOT(ISERROR(SEARCH("DPR not approved",C543)))</formula>
    </cfRule>
  </conditionalFormatting>
  <conditionalFormatting sqref="C545">
    <cfRule type="containsText" dxfId="80" priority="80" operator="containsText" text="DPR not submitted">
      <formula>NOT(ISERROR(SEARCH("DPR not submitted",C545)))</formula>
    </cfRule>
    <cfRule type="containsText" dxfId="79" priority="81" operator="containsText" text="Yet to be approved">
      <formula>NOT(ISERROR(SEARCH("Yet to be approved",C545)))</formula>
    </cfRule>
  </conditionalFormatting>
  <conditionalFormatting sqref="C545">
    <cfRule type="containsText" dxfId="78" priority="79" operator="containsText" text="DPR not approved">
      <formula>NOT(ISERROR(SEARCH("DPR not approved",C545)))</formula>
    </cfRule>
  </conditionalFormatting>
  <conditionalFormatting sqref="C545">
    <cfRule type="containsText" dxfId="77" priority="77" operator="containsText" text="DPR returmed back for non compliance of queries">
      <formula>NOT(ISERROR(SEARCH("DPR returmed back for non compliance of queries",C545)))</formula>
    </cfRule>
    <cfRule type="containsText" dxfId="76" priority="78" operator="containsText" text="DPR not approved">
      <formula>NOT(ISERROR(SEARCH("DPR not approved",C545)))</formula>
    </cfRule>
  </conditionalFormatting>
  <conditionalFormatting sqref="C610:C612">
    <cfRule type="containsText" dxfId="75" priority="56" operator="containsText" text="DPR not submitted">
      <formula>NOT(ISERROR(SEARCH("DPR not submitted",C610)))</formula>
    </cfRule>
    <cfRule type="containsText" dxfId="74" priority="57" operator="containsText" text="Yet to be approved">
      <formula>NOT(ISERROR(SEARCH("Yet to be approved",C610)))</formula>
    </cfRule>
  </conditionalFormatting>
  <conditionalFormatting sqref="C614:C618">
    <cfRule type="containsText" dxfId="73" priority="54" operator="containsText" text="DPR not submitted">
      <formula>NOT(ISERROR(SEARCH("DPR not submitted",C614)))</formula>
    </cfRule>
    <cfRule type="containsText" dxfId="72" priority="55" operator="containsText" text="Yet to be approved">
      <formula>NOT(ISERROR(SEARCH("Yet to be approved",C614)))</formula>
    </cfRule>
  </conditionalFormatting>
  <conditionalFormatting sqref="C637 C586:C593 C595:C608 C620:C635">
    <cfRule type="containsText" dxfId="71" priority="75" operator="containsText" text="DPR not submitted">
      <formula>NOT(ISERROR(SEARCH("DPR not submitted",C586)))</formula>
    </cfRule>
    <cfRule type="containsText" dxfId="70" priority="76" operator="containsText" text="Yet to be approved">
      <formula>NOT(ISERROR(SEARCH("Yet to be approved",C586)))</formula>
    </cfRule>
  </conditionalFormatting>
  <conditionalFormatting sqref="C631">
    <cfRule type="containsText" dxfId="69" priority="74" operator="containsText" text="DPR not approved">
      <formula>NOT(ISERROR(SEARCH("DPR not approved",C631)))</formula>
    </cfRule>
  </conditionalFormatting>
  <conditionalFormatting sqref="C631">
    <cfRule type="containsText" dxfId="68" priority="72" operator="containsText" text="DPR returmed back for non compliance of queries">
      <formula>NOT(ISERROR(SEARCH("DPR returmed back for non compliance of queries",C631)))</formula>
    </cfRule>
    <cfRule type="containsText" dxfId="67" priority="73" operator="containsText" text="DPR not approved">
      <formula>NOT(ISERROR(SEARCH("DPR not approved",C631)))</formula>
    </cfRule>
  </conditionalFormatting>
  <conditionalFormatting sqref="C580">
    <cfRule type="containsText" dxfId="66" priority="70" operator="containsText" text="DPR not submitted">
      <formula>NOT(ISERROR(SEARCH("DPR not submitted",C580)))</formula>
    </cfRule>
    <cfRule type="containsText" dxfId="65" priority="71" operator="containsText" text="Yet to be approved">
      <formula>NOT(ISERROR(SEARCH("Yet to be approved",C580)))</formula>
    </cfRule>
  </conditionalFormatting>
  <conditionalFormatting sqref="C585">
    <cfRule type="containsText" dxfId="64" priority="68" operator="containsText" text="DPR not submitted">
      <formula>NOT(ISERROR(SEARCH("DPR not submitted",C585)))</formula>
    </cfRule>
    <cfRule type="containsText" dxfId="63" priority="69" operator="containsText" text="Yet to be approved">
      <formula>NOT(ISERROR(SEARCH("Yet to be approved",C585)))</formula>
    </cfRule>
  </conditionalFormatting>
  <conditionalFormatting sqref="C594">
    <cfRule type="containsText" dxfId="62" priority="66" operator="containsText" text="DPR not submitted">
      <formula>NOT(ISERROR(SEARCH("DPR not submitted",C594)))</formula>
    </cfRule>
    <cfRule type="containsText" dxfId="61" priority="67" operator="containsText" text="Yet to be approved">
      <formula>NOT(ISERROR(SEARCH("Yet to be approved",C594)))</formula>
    </cfRule>
  </conditionalFormatting>
  <conditionalFormatting sqref="C609">
    <cfRule type="containsText" dxfId="60" priority="64" operator="containsText" text="DPR not submitted">
      <formula>NOT(ISERROR(SEARCH("DPR not submitted",C609)))</formula>
    </cfRule>
    <cfRule type="containsText" dxfId="59" priority="65" operator="containsText" text="Yet to be approved">
      <formula>NOT(ISERROR(SEARCH("Yet to be approved",C609)))</formula>
    </cfRule>
  </conditionalFormatting>
  <conditionalFormatting sqref="C613">
    <cfRule type="containsText" dxfId="58" priority="62" operator="containsText" text="DPR not submitted">
      <formula>NOT(ISERROR(SEARCH("DPR not submitted",C613)))</formula>
    </cfRule>
    <cfRule type="containsText" dxfId="57" priority="63" operator="containsText" text="Yet to be approved">
      <formula>NOT(ISERROR(SEARCH("Yet to be approved",C613)))</formula>
    </cfRule>
  </conditionalFormatting>
  <conditionalFormatting sqref="C619">
    <cfRule type="containsText" dxfId="56" priority="60" operator="containsText" text="DPR not submitted">
      <formula>NOT(ISERROR(SEARCH("DPR not submitted",C619)))</formula>
    </cfRule>
    <cfRule type="containsText" dxfId="55" priority="61" operator="containsText" text="Yet to be approved">
      <formula>NOT(ISERROR(SEARCH("Yet to be approved",C619)))</formula>
    </cfRule>
  </conditionalFormatting>
  <conditionalFormatting sqref="C639 C641">
    <cfRule type="containsText" dxfId="54" priority="58" operator="containsText" text="DPR not submitted">
      <formula>NOT(ISERROR(SEARCH("DPR not submitted",C639)))</formula>
    </cfRule>
    <cfRule type="containsText" dxfId="53" priority="59" operator="containsText" text="Yet to be approved">
      <formula>NOT(ISERROR(SEARCH("Yet to be approved",C639)))</formula>
    </cfRule>
  </conditionalFormatting>
  <conditionalFormatting sqref="C636">
    <cfRule type="containsText" dxfId="52" priority="52" operator="containsText" text="DPR not submitted">
      <formula>NOT(ISERROR(SEARCH("DPR not submitted",C636)))</formula>
    </cfRule>
    <cfRule type="containsText" dxfId="51" priority="53" operator="containsText" text="Yet to be approved">
      <formula>NOT(ISERROR(SEARCH("Yet to be approved",C636)))</formula>
    </cfRule>
  </conditionalFormatting>
  <conditionalFormatting sqref="C636">
    <cfRule type="containsText" dxfId="50" priority="51" operator="containsText" text="DPR not approved">
      <formula>NOT(ISERROR(SEARCH("DPR not approved",C636)))</formula>
    </cfRule>
  </conditionalFormatting>
  <conditionalFormatting sqref="C636">
    <cfRule type="containsText" dxfId="49" priority="49" operator="containsText" text="DPR returmed back for non compliance of queries">
      <formula>NOT(ISERROR(SEARCH("DPR returmed back for non compliance of queries",C636)))</formula>
    </cfRule>
    <cfRule type="containsText" dxfId="48" priority="50" operator="containsText" text="DPR not approved">
      <formula>NOT(ISERROR(SEARCH("DPR not approved",C636)))</formula>
    </cfRule>
  </conditionalFormatting>
  <conditionalFormatting sqref="C638">
    <cfRule type="containsText" dxfId="47" priority="47" operator="containsText" text="DPR not submitted">
      <formula>NOT(ISERROR(SEARCH("DPR not submitted",C638)))</formula>
    </cfRule>
    <cfRule type="containsText" dxfId="46" priority="48" operator="containsText" text="Yet to be approved">
      <formula>NOT(ISERROR(SEARCH("Yet to be approved",C638)))</formula>
    </cfRule>
  </conditionalFormatting>
  <conditionalFormatting sqref="C638">
    <cfRule type="containsText" dxfId="45" priority="46" operator="containsText" text="DPR not approved">
      <formula>NOT(ISERROR(SEARCH("DPR not approved",C638)))</formula>
    </cfRule>
  </conditionalFormatting>
  <conditionalFormatting sqref="C638">
    <cfRule type="containsText" dxfId="44" priority="44" operator="containsText" text="DPR returmed back for non compliance of queries">
      <formula>NOT(ISERROR(SEARCH("DPR returmed back for non compliance of queries",C638)))</formula>
    </cfRule>
    <cfRule type="containsText" dxfId="43" priority="45" operator="containsText" text="DPR not approved">
      <formula>NOT(ISERROR(SEARCH("DPR not approved",C638)))</formula>
    </cfRule>
  </conditionalFormatting>
  <conditionalFormatting sqref="C640">
    <cfRule type="containsText" dxfId="42" priority="42" operator="containsText" text="DPR not submitted">
      <formula>NOT(ISERROR(SEARCH("DPR not submitted",C640)))</formula>
    </cfRule>
    <cfRule type="containsText" dxfId="41" priority="43" operator="containsText" text="Yet to be approved">
      <formula>NOT(ISERROR(SEARCH("Yet to be approved",C640)))</formula>
    </cfRule>
  </conditionalFormatting>
  <conditionalFormatting sqref="C640">
    <cfRule type="containsText" dxfId="40" priority="41" operator="containsText" text="DPR not approved">
      <formula>NOT(ISERROR(SEARCH("DPR not approved",C640)))</formula>
    </cfRule>
  </conditionalFormatting>
  <conditionalFormatting sqref="C640">
    <cfRule type="containsText" dxfId="39" priority="39" operator="containsText" text="DPR returmed back for non compliance of queries">
      <formula>NOT(ISERROR(SEARCH("DPR returmed back for non compliance of queries",C640)))</formula>
    </cfRule>
    <cfRule type="containsText" dxfId="38" priority="40" operator="containsText" text="DPR not approved">
      <formula>NOT(ISERROR(SEARCH("DPR not approved",C640)))</formula>
    </cfRule>
  </conditionalFormatting>
  <conditionalFormatting sqref="C705:C707">
    <cfRule type="containsText" dxfId="37" priority="18" operator="containsText" text="DPR not submitted">
      <formula>NOT(ISERROR(SEARCH("DPR not submitted",C705)))</formula>
    </cfRule>
    <cfRule type="containsText" dxfId="36" priority="19" operator="containsText" text="Yet to be approved">
      <formula>NOT(ISERROR(SEARCH("Yet to be approved",C705)))</formula>
    </cfRule>
  </conditionalFormatting>
  <conditionalFormatting sqref="C709:C713">
    <cfRule type="containsText" dxfId="35" priority="16" operator="containsText" text="DPR not submitted">
      <formula>NOT(ISERROR(SEARCH("DPR not submitted",C709)))</formula>
    </cfRule>
    <cfRule type="containsText" dxfId="34" priority="17" operator="containsText" text="Yet to be approved">
      <formula>NOT(ISERROR(SEARCH("Yet to be approved",C709)))</formula>
    </cfRule>
  </conditionalFormatting>
  <conditionalFormatting sqref="C732 C681:C688 C690:C703 C715:C730">
    <cfRule type="containsText" dxfId="33" priority="37" operator="containsText" text="DPR not submitted">
      <formula>NOT(ISERROR(SEARCH("DPR not submitted",C681)))</formula>
    </cfRule>
    <cfRule type="containsText" dxfId="32" priority="38" operator="containsText" text="Yet to be approved">
      <formula>NOT(ISERROR(SEARCH("Yet to be approved",C681)))</formula>
    </cfRule>
  </conditionalFormatting>
  <conditionalFormatting sqref="C726">
    <cfRule type="containsText" dxfId="31" priority="36" operator="containsText" text="DPR not approved">
      <formula>NOT(ISERROR(SEARCH("DPR not approved",C726)))</formula>
    </cfRule>
  </conditionalFormatting>
  <conditionalFormatting sqref="C726">
    <cfRule type="containsText" dxfId="30" priority="34" operator="containsText" text="DPR returmed back for non compliance of queries">
      <formula>NOT(ISERROR(SEARCH("DPR returmed back for non compliance of queries",C726)))</formula>
    </cfRule>
    <cfRule type="containsText" dxfId="29" priority="35" operator="containsText" text="DPR not approved">
      <formula>NOT(ISERROR(SEARCH("DPR not approved",C726)))</formula>
    </cfRule>
  </conditionalFormatting>
  <conditionalFormatting sqref="C675">
    <cfRule type="containsText" dxfId="28" priority="32" operator="containsText" text="DPR not submitted">
      <formula>NOT(ISERROR(SEARCH("DPR not submitted",C675)))</formula>
    </cfRule>
    <cfRule type="containsText" dxfId="27" priority="33" operator="containsText" text="Yet to be approved">
      <formula>NOT(ISERROR(SEARCH("Yet to be approved",C675)))</formula>
    </cfRule>
  </conditionalFormatting>
  <conditionalFormatting sqref="C680">
    <cfRule type="containsText" dxfId="26" priority="30" operator="containsText" text="DPR not submitted">
      <formula>NOT(ISERROR(SEARCH("DPR not submitted",C680)))</formula>
    </cfRule>
    <cfRule type="containsText" dxfId="25" priority="31" operator="containsText" text="Yet to be approved">
      <formula>NOT(ISERROR(SEARCH("Yet to be approved",C680)))</formula>
    </cfRule>
  </conditionalFormatting>
  <conditionalFormatting sqref="C689">
    <cfRule type="containsText" dxfId="24" priority="28" operator="containsText" text="DPR not submitted">
      <formula>NOT(ISERROR(SEARCH("DPR not submitted",C689)))</formula>
    </cfRule>
    <cfRule type="containsText" dxfId="23" priority="29" operator="containsText" text="Yet to be approved">
      <formula>NOT(ISERROR(SEARCH("Yet to be approved",C689)))</formula>
    </cfRule>
  </conditionalFormatting>
  <conditionalFormatting sqref="C704">
    <cfRule type="containsText" dxfId="22" priority="26" operator="containsText" text="DPR not submitted">
      <formula>NOT(ISERROR(SEARCH("DPR not submitted",C704)))</formula>
    </cfRule>
    <cfRule type="containsText" dxfId="21" priority="27" operator="containsText" text="Yet to be approved">
      <formula>NOT(ISERROR(SEARCH("Yet to be approved",C704)))</formula>
    </cfRule>
  </conditionalFormatting>
  <conditionalFormatting sqref="C708">
    <cfRule type="containsText" dxfId="20" priority="24" operator="containsText" text="DPR not submitted">
      <formula>NOT(ISERROR(SEARCH("DPR not submitted",C708)))</formula>
    </cfRule>
    <cfRule type="containsText" dxfId="19" priority="25" operator="containsText" text="Yet to be approved">
      <formula>NOT(ISERROR(SEARCH("Yet to be approved",C708)))</formula>
    </cfRule>
  </conditionalFormatting>
  <conditionalFormatting sqref="C714">
    <cfRule type="containsText" dxfId="18" priority="22" operator="containsText" text="DPR not submitted">
      <formula>NOT(ISERROR(SEARCH("DPR not submitted",C714)))</formula>
    </cfRule>
    <cfRule type="containsText" dxfId="17" priority="23" operator="containsText" text="Yet to be approved">
      <formula>NOT(ISERROR(SEARCH("Yet to be approved",C714)))</formula>
    </cfRule>
  </conditionalFormatting>
  <conditionalFormatting sqref="C734 C736">
    <cfRule type="containsText" dxfId="16" priority="20" operator="containsText" text="DPR not submitted">
      <formula>NOT(ISERROR(SEARCH("DPR not submitted",C734)))</formula>
    </cfRule>
    <cfRule type="containsText" dxfId="15" priority="21" operator="containsText" text="Yet to be approved">
      <formula>NOT(ISERROR(SEARCH("Yet to be approved",C734)))</formula>
    </cfRule>
  </conditionalFormatting>
  <conditionalFormatting sqref="C731">
    <cfRule type="containsText" dxfId="14" priority="14" operator="containsText" text="DPR not submitted">
      <formula>NOT(ISERROR(SEARCH("DPR not submitted",C731)))</formula>
    </cfRule>
    <cfRule type="containsText" dxfId="13" priority="15" operator="containsText" text="Yet to be approved">
      <formula>NOT(ISERROR(SEARCH("Yet to be approved",C731)))</formula>
    </cfRule>
  </conditionalFormatting>
  <conditionalFormatting sqref="C731">
    <cfRule type="containsText" dxfId="12" priority="13" operator="containsText" text="DPR not approved">
      <formula>NOT(ISERROR(SEARCH("DPR not approved",C731)))</formula>
    </cfRule>
  </conditionalFormatting>
  <conditionalFormatting sqref="C731">
    <cfRule type="containsText" dxfId="11" priority="11" operator="containsText" text="DPR returmed back for non compliance of queries">
      <formula>NOT(ISERROR(SEARCH("DPR returmed back for non compliance of queries",C731)))</formula>
    </cfRule>
    <cfRule type="containsText" dxfId="10" priority="12" operator="containsText" text="DPR not approved">
      <formula>NOT(ISERROR(SEARCH("DPR not approved",C731)))</formula>
    </cfRule>
  </conditionalFormatting>
  <conditionalFormatting sqref="C733">
    <cfRule type="containsText" dxfId="9" priority="9" operator="containsText" text="DPR not submitted">
      <formula>NOT(ISERROR(SEARCH("DPR not submitted",C733)))</formula>
    </cfRule>
    <cfRule type="containsText" dxfId="8" priority="10" operator="containsText" text="Yet to be approved">
      <formula>NOT(ISERROR(SEARCH("Yet to be approved",C733)))</formula>
    </cfRule>
  </conditionalFormatting>
  <conditionalFormatting sqref="C733">
    <cfRule type="containsText" dxfId="7" priority="8" operator="containsText" text="DPR not approved">
      <formula>NOT(ISERROR(SEARCH("DPR not approved",C733)))</formula>
    </cfRule>
  </conditionalFormatting>
  <conditionalFormatting sqref="C733">
    <cfRule type="containsText" dxfId="6" priority="6" operator="containsText" text="DPR returmed back for non compliance of queries">
      <formula>NOT(ISERROR(SEARCH("DPR returmed back for non compliance of queries",C733)))</formula>
    </cfRule>
    <cfRule type="containsText" dxfId="5" priority="7" operator="containsText" text="DPR not approved">
      <formula>NOT(ISERROR(SEARCH("DPR not approved",C733)))</formula>
    </cfRule>
  </conditionalFormatting>
  <conditionalFormatting sqref="C735">
    <cfRule type="containsText" dxfId="4" priority="4" operator="containsText" text="DPR not submitted">
      <formula>NOT(ISERROR(SEARCH("DPR not submitted",C735)))</formula>
    </cfRule>
    <cfRule type="containsText" dxfId="3" priority="5" operator="containsText" text="Yet to be approved">
      <formula>NOT(ISERROR(SEARCH("Yet to be approved",C735)))</formula>
    </cfRule>
  </conditionalFormatting>
  <conditionalFormatting sqref="C735">
    <cfRule type="containsText" dxfId="2" priority="3" operator="containsText" text="DPR not approved">
      <formula>NOT(ISERROR(SEARCH("DPR not approved",C735)))</formula>
    </cfRule>
  </conditionalFormatting>
  <conditionalFormatting sqref="C735">
    <cfRule type="containsText" dxfId="1" priority="1" operator="containsText" text="DPR returmed back for non compliance of queries">
      <formula>NOT(ISERROR(SEARCH("DPR returmed back for non compliance of queries",C735)))</formula>
    </cfRule>
    <cfRule type="containsText" dxfId="0" priority="2" operator="containsText" text="DPR not approved">
      <formula>NOT(ISERROR(SEARCH("DPR not approved",C735)))</formula>
    </cfRule>
  </conditionalFormatting>
  <pageMargins left="0.39370078740157483" right="0.39370078740157483" top="0.39370078740157483" bottom="0.39370078740157483" header="0.23622047244094491" footer="0.23622047244094491"/>
  <pageSetup paperSize="9" scale="49" fitToHeight="0" pageOrder="overThenDown" orientation="landscape" blackAndWhite="1" r:id="rId1"/>
  <headerFooter alignWithMargins="0">
    <oddHeader>&amp;F</oddHeader>
  </headerFooter>
  <rowBreaks count="5" manualBreakCount="5">
    <brk id="154" max="13" man="1"/>
    <brk id="195" max="13" man="1"/>
    <brk id="290" max="13" man="1"/>
    <brk id="385" max="13" man="1"/>
    <brk id="480"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G166"/>
  <sheetViews>
    <sheetView showGridLines="0" view="pageBreakPreview" topLeftCell="F1" zoomScale="56" zoomScaleNormal="68" zoomScaleSheetLayoutView="70" workbookViewId="0">
      <selection activeCell="O19" sqref="O19"/>
    </sheetView>
  </sheetViews>
  <sheetFormatPr defaultColWidth="9.453125" defaultRowHeight="14" x14ac:dyDescent="0.3"/>
  <cols>
    <col min="1" max="1" width="7.90625" style="5" customWidth="1"/>
    <col min="2" max="2" width="6.453125" style="5" customWidth="1"/>
    <col min="3" max="3" width="43" style="5" customWidth="1"/>
    <col min="4"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x14ac:dyDescent="0.3">
      <c r="B1" s="48"/>
    </row>
    <row r="2" spans="1:23" x14ac:dyDescent="0.3">
      <c r="B2" s="48"/>
    </row>
    <row r="3" spans="1:23" x14ac:dyDescent="0.3">
      <c r="B3" s="48"/>
    </row>
    <row r="4" spans="1:23" x14ac:dyDescent="0.3">
      <c r="B4" s="19"/>
      <c r="I4" s="18"/>
      <c r="J4" s="18"/>
      <c r="K4" s="1021" t="str">
        <f>Index!B2</f>
        <v xml:space="preserve">      Maharashtra State Power Generation Company Ltd.</v>
      </c>
      <c r="L4" s="1021"/>
      <c r="M4" s="18"/>
      <c r="N4" s="18"/>
      <c r="O4" s="18"/>
      <c r="P4" s="18"/>
      <c r="Q4" s="18"/>
      <c r="R4" s="18"/>
    </row>
    <row r="5" spans="1:23" x14ac:dyDescent="0.3">
      <c r="B5" s="19"/>
      <c r="I5" s="60"/>
      <c r="J5" s="60"/>
      <c r="K5" s="1021" t="str">
        <f>Index!B3</f>
        <v>MYT Petition Formats for Bhusawal Unit 3</v>
      </c>
      <c r="L5" s="1021"/>
      <c r="M5" s="60"/>
      <c r="N5" s="60"/>
      <c r="O5" s="60"/>
      <c r="P5" s="60"/>
      <c r="Q5" s="60"/>
      <c r="R5" s="60"/>
    </row>
    <row r="6" spans="1:23" x14ac:dyDescent="0.3">
      <c r="B6" s="18"/>
      <c r="I6" s="61"/>
      <c r="J6" s="62"/>
      <c r="K6" s="125" t="s">
        <v>1571</v>
      </c>
      <c r="L6" s="67"/>
      <c r="M6" s="62"/>
      <c r="N6" s="19"/>
      <c r="O6" s="18"/>
      <c r="P6" s="18"/>
      <c r="Q6" s="18"/>
      <c r="R6" s="18"/>
    </row>
    <row r="7" spans="1:23" x14ac:dyDescent="0.3">
      <c r="C7" s="19"/>
      <c r="D7" s="19"/>
      <c r="E7" s="19"/>
      <c r="F7" s="19"/>
      <c r="G7" s="19"/>
      <c r="H7" s="19"/>
      <c r="J7" s="6"/>
      <c r="M7" s="6"/>
      <c r="N7" s="6"/>
    </row>
    <row r="8" spans="1:23" x14ac:dyDescent="0.3">
      <c r="A8" s="5" t="s">
        <v>265</v>
      </c>
      <c r="B8" s="1026" t="s">
        <v>266</v>
      </c>
      <c r="C8" s="1026"/>
      <c r="D8" s="1026"/>
      <c r="E8" s="1026"/>
      <c r="F8" s="1026"/>
      <c r="G8" s="1026"/>
      <c r="H8" s="1026"/>
      <c r="I8" s="1"/>
      <c r="J8" s="42"/>
      <c r="K8" s="1"/>
      <c r="L8" s="1"/>
      <c r="M8" s="42"/>
      <c r="N8" s="42"/>
      <c r="O8" s="1"/>
      <c r="P8" s="1"/>
      <c r="Q8" s="1"/>
      <c r="R8" s="247"/>
    </row>
    <row r="9" spans="1:23" x14ac:dyDescent="0.3">
      <c r="B9" s="254"/>
      <c r="C9" s="8"/>
      <c r="D9" s="8"/>
      <c r="E9" s="8"/>
      <c r="F9" s="8"/>
      <c r="G9" s="8"/>
      <c r="H9" s="8"/>
      <c r="I9" s="1"/>
      <c r="J9" s="42"/>
      <c r="K9" s="1"/>
      <c r="L9" s="1"/>
      <c r="N9" s="42"/>
      <c r="O9" s="1"/>
      <c r="P9" s="1"/>
      <c r="Q9" s="1"/>
      <c r="W9" s="255" t="s">
        <v>10</v>
      </c>
    </row>
    <row r="10" spans="1:23" ht="15.75" customHeight="1" x14ac:dyDescent="0.3">
      <c r="B10" s="1639" t="s">
        <v>340</v>
      </c>
      <c r="C10" s="1639" t="s">
        <v>38</v>
      </c>
      <c r="D10" s="1762" t="s">
        <v>505</v>
      </c>
      <c r="E10" s="1762"/>
      <c r="F10" s="1762"/>
      <c r="G10" s="1762"/>
      <c r="H10" s="1762"/>
      <c r="I10" s="1762" t="s">
        <v>506</v>
      </c>
      <c r="J10" s="1762"/>
      <c r="K10" s="1762"/>
      <c r="L10" s="1762"/>
      <c r="M10" s="1762"/>
      <c r="N10" s="1758" t="s">
        <v>507</v>
      </c>
      <c r="O10" s="1758"/>
      <c r="P10" s="1758"/>
      <c r="Q10" s="1758"/>
      <c r="R10" s="1758"/>
      <c r="S10" s="1758" t="s">
        <v>1067</v>
      </c>
      <c r="T10" s="1758"/>
      <c r="U10" s="1758"/>
      <c r="V10" s="1758"/>
      <c r="W10" s="1758"/>
    </row>
    <row r="11" spans="1:23" ht="15.75" customHeight="1" x14ac:dyDescent="0.3">
      <c r="B11" s="1639"/>
      <c r="C11" s="1639"/>
      <c r="D11" s="1764" t="s">
        <v>7</v>
      </c>
      <c r="E11" s="1765"/>
      <c r="F11" s="1765"/>
      <c r="G11" s="1765"/>
      <c r="H11" s="1765"/>
      <c r="I11" s="1764" t="s">
        <v>7</v>
      </c>
      <c r="J11" s="1765"/>
      <c r="K11" s="1765"/>
      <c r="L11" s="1765"/>
      <c r="M11" s="1765"/>
      <c r="N11" s="1764" t="s">
        <v>12</v>
      </c>
      <c r="O11" s="1765"/>
      <c r="P11" s="1765"/>
      <c r="Q11" s="1765"/>
      <c r="R11" s="1765"/>
      <c r="S11" s="1762" t="s">
        <v>21</v>
      </c>
      <c r="T11" s="1763"/>
      <c r="U11" s="1763"/>
      <c r="V11" s="1763"/>
      <c r="W11" s="1763"/>
    </row>
    <row r="12" spans="1:23" s="35" customFormat="1" ht="42" x14ac:dyDescent="0.3">
      <c r="B12" s="1639"/>
      <c r="C12" s="1639"/>
      <c r="D12" s="1024" t="s">
        <v>267</v>
      </c>
      <c r="E12" s="1024" t="s">
        <v>268</v>
      </c>
      <c r="F12" s="1024" t="s">
        <v>269</v>
      </c>
      <c r="G12" s="1024" t="s">
        <v>586</v>
      </c>
      <c r="H12" s="1024" t="s">
        <v>270</v>
      </c>
      <c r="I12" s="1024" t="s">
        <v>267</v>
      </c>
      <c r="J12" s="1024" t="s">
        <v>268</v>
      </c>
      <c r="K12" s="1024" t="s">
        <v>269</v>
      </c>
      <c r="L12" s="1024" t="s">
        <v>586</v>
      </c>
      <c r="M12" s="1024" t="s">
        <v>270</v>
      </c>
      <c r="N12" s="1030" t="s">
        <v>267</v>
      </c>
      <c r="O12" s="1030" t="s">
        <v>268</v>
      </c>
      <c r="P12" s="1030" t="s">
        <v>269</v>
      </c>
      <c r="Q12" s="1024" t="s">
        <v>586</v>
      </c>
      <c r="R12" s="1030" t="s">
        <v>270</v>
      </c>
      <c r="S12" s="1030" t="s">
        <v>267</v>
      </c>
      <c r="T12" s="1030" t="s">
        <v>268</v>
      </c>
      <c r="U12" s="1030" t="s">
        <v>269</v>
      </c>
      <c r="V12" s="1024" t="s">
        <v>586</v>
      </c>
      <c r="W12" s="1030" t="s">
        <v>270</v>
      </c>
    </row>
    <row r="13" spans="1:23" s="36" customFormat="1" ht="28" x14ac:dyDescent="0.25">
      <c r="B13" s="256"/>
      <c r="C13" s="256"/>
      <c r="D13" s="256" t="s">
        <v>82</v>
      </c>
      <c r="E13" s="256" t="s">
        <v>83</v>
      </c>
      <c r="F13" s="256" t="s">
        <v>459</v>
      </c>
      <c r="G13" s="256" t="s">
        <v>391</v>
      </c>
      <c r="H13" s="256" t="s">
        <v>587</v>
      </c>
      <c r="I13" s="256" t="s">
        <v>409</v>
      </c>
      <c r="J13" s="256" t="s">
        <v>508</v>
      </c>
      <c r="K13" s="256" t="s">
        <v>410</v>
      </c>
      <c r="L13" s="256" t="s">
        <v>411</v>
      </c>
      <c r="M13" s="256" t="s">
        <v>652</v>
      </c>
      <c r="N13" s="256" t="s">
        <v>588</v>
      </c>
      <c r="O13" s="256" t="s">
        <v>653</v>
      </c>
      <c r="P13" s="256" t="s">
        <v>589</v>
      </c>
      <c r="Q13" s="256" t="s">
        <v>590</v>
      </c>
      <c r="R13" s="256" t="s">
        <v>1152</v>
      </c>
      <c r="S13" s="256" t="s">
        <v>591</v>
      </c>
      <c r="T13" s="256" t="s">
        <v>592</v>
      </c>
      <c r="U13" s="256" t="s">
        <v>654</v>
      </c>
      <c r="V13" s="256" t="s">
        <v>593</v>
      </c>
      <c r="W13" s="256" t="s">
        <v>1153</v>
      </c>
    </row>
    <row r="14" spans="1:23" s="404" customFormat="1" x14ac:dyDescent="0.3">
      <c r="B14" s="448">
        <v>1</v>
      </c>
      <c r="C14" s="450" t="s">
        <v>845</v>
      </c>
      <c r="D14" s="451">
        <f>'F5'!D14</f>
        <v>3.4063698999999996</v>
      </c>
      <c r="E14" s="451">
        <f>'F5'!E14</f>
        <v>0</v>
      </c>
      <c r="F14" s="451">
        <f>'F5'!F14</f>
        <v>0</v>
      </c>
      <c r="G14" s="451">
        <f>'F5'!G14</f>
        <v>0</v>
      </c>
      <c r="H14" s="451">
        <f>D14+E14-F14-G14</f>
        <v>3.4063698999999996</v>
      </c>
      <c r="I14" s="428">
        <f>H14</f>
        <v>3.4063698999999996</v>
      </c>
      <c r="J14" s="451">
        <f>'F5'!J14</f>
        <v>0.19434199999999999</v>
      </c>
      <c r="K14" s="451">
        <f>'F5'!K14</f>
        <v>0</v>
      </c>
      <c r="L14" s="451">
        <f>'F5'!L14</f>
        <v>0</v>
      </c>
      <c r="M14" s="428">
        <f>I14+J14-K14-L14</f>
        <v>3.6007118999999994</v>
      </c>
      <c r="N14" s="451">
        <f t="shared" ref="N14:N30" si="0">M14</f>
        <v>3.6007118999999994</v>
      </c>
      <c r="O14" s="451">
        <f>'F5'!O14</f>
        <v>0</v>
      </c>
      <c r="P14" s="451">
        <f>'F5'!P14</f>
        <v>0</v>
      </c>
      <c r="Q14" s="451">
        <f>'F5'!Q14</f>
        <v>0</v>
      </c>
      <c r="R14" s="451">
        <f>N14+O14-P14-Q14</f>
        <v>3.6007118999999994</v>
      </c>
      <c r="S14" s="428">
        <f>'F5'!S14+'F5.1 (N)'!D14</f>
        <v>3.6007118999999994</v>
      </c>
      <c r="T14" s="451">
        <f>'F5'!T14+'F5.1 (N)'!E14</f>
        <v>0</v>
      </c>
      <c r="U14" s="451">
        <f>'F5'!U14+'F5.1 (N)'!F14</f>
        <v>0</v>
      </c>
      <c r="V14" s="451">
        <f>'F5'!V14+'F5.1 (N)'!G14</f>
        <v>0</v>
      </c>
      <c r="W14" s="428">
        <f>S14+T14-U14-V14</f>
        <v>3.6007118999999994</v>
      </c>
    </row>
    <row r="15" spans="1:23" s="404" customFormat="1" x14ac:dyDescent="0.3">
      <c r="B15" s="448">
        <f>B14+1</f>
        <v>2</v>
      </c>
      <c r="C15" s="450" t="s">
        <v>846</v>
      </c>
      <c r="D15" s="451">
        <f>'F5'!D15</f>
        <v>18.54565659589041</v>
      </c>
      <c r="E15" s="451">
        <f>'F5'!E15</f>
        <v>0</v>
      </c>
      <c r="F15" s="451">
        <f>'F5'!F15</f>
        <v>0</v>
      </c>
      <c r="G15" s="451">
        <f>'F5'!G15</f>
        <v>0</v>
      </c>
      <c r="H15" s="451">
        <f t="shared" ref="H15:H30" si="1">D15+E15-F15-G15</f>
        <v>18.54565659589041</v>
      </c>
      <c r="I15" s="428">
        <f t="shared" ref="I15:I30" si="2">H15</f>
        <v>18.54565659589041</v>
      </c>
      <c r="J15" s="451">
        <f>'F5'!J15</f>
        <v>0</v>
      </c>
      <c r="K15" s="451">
        <f>'F5'!K15</f>
        <v>0</v>
      </c>
      <c r="L15" s="451">
        <f>'F5'!L15</f>
        <v>0</v>
      </c>
      <c r="M15" s="428">
        <f t="shared" ref="M15:M30" si="3">I15+J15-K15-L15</f>
        <v>18.54565659589041</v>
      </c>
      <c r="N15" s="451">
        <f t="shared" si="0"/>
        <v>18.54565659589041</v>
      </c>
      <c r="O15" s="451">
        <f>'F5'!O15</f>
        <v>0</v>
      </c>
      <c r="P15" s="451">
        <f>'F5'!P15</f>
        <v>0</v>
      </c>
      <c r="Q15" s="451">
        <f>'F5'!Q15</f>
        <v>0</v>
      </c>
      <c r="R15" s="451">
        <f t="shared" ref="R15:R30" si="4">N15+O15-P15-Q15</f>
        <v>18.54565659589041</v>
      </c>
      <c r="S15" s="428">
        <f>'F5'!S15+'F5.1 (N)'!D15</f>
        <v>18.54565659589041</v>
      </c>
      <c r="T15" s="451">
        <f>'F5'!T15+'F5.1 (N)'!E15</f>
        <v>0</v>
      </c>
      <c r="U15" s="451">
        <f>'F5'!U15+'F5.1 (N)'!F15</f>
        <v>0</v>
      </c>
      <c r="V15" s="451">
        <f>'F5'!V15+'F5.1 (N)'!G15</f>
        <v>0</v>
      </c>
      <c r="W15" s="428">
        <f t="shared" ref="W15:W30" si="5">S15+T15-U15-V15</f>
        <v>18.54565659589041</v>
      </c>
    </row>
    <row r="16" spans="1:23" s="404" customFormat="1" x14ac:dyDescent="0.3">
      <c r="B16" s="448">
        <f t="shared" ref="B16:B30" si="6">B15+1</f>
        <v>3</v>
      </c>
      <c r="C16" s="450" t="s">
        <v>847</v>
      </c>
      <c r="D16" s="451">
        <f>'F5'!D16</f>
        <v>0</v>
      </c>
      <c r="E16" s="451">
        <f>'F5'!E16</f>
        <v>0</v>
      </c>
      <c r="F16" s="451">
        <f>'F5'!F16</f>
        <v>0</v>
      </c>
      <c r="G16" s="451">
        <f>'F5'!G16</f>
        <v>0</v>
      </c>
      <c r="H16" s="451">
        <f t="shared" si="1"/>
        <v>0</v>
      </c>
      <c r="I16" s="428">
        <f t="shared" si="2"/>
        <v>0</v>
      </c>
      <c r="J16" s="451">
        <f>'F5'!J16</f>
        <v>0</v>
      </c>
      <c r="K16" s="451">
        <f>'F5'!K16</f>
        <v>0</v>
      </c>
      <c r="L16" s="451">
        <f>'F5'!L16</f>
        <v>0</v>
      </c>
      <c r="M16" s="428">
        <f t="shared" si="3"/>
        <v>0</v>
      </c>
      <c r="N16" s="451">
        <f t="shared" si="0"/>
        <v>0</v>
      </c>
      <c r="O16" s="451">
        <f>'F5'!O16</f>
        <v>0</v>
      </c>
      <c r="P16" s="451">
        <f>'F5'!P16</f>
        <v>0</v>
      </c>
      <c r="Q16" s="451">
        <f>'F5'!Q16</f>
        <v>0</v>
      </c>
      <c r="R16" s="451">
        <f t="shared" si="4"/>
        <v>0</v>
      </c>
      <c r="S16" s="428">
        <f>'F5'!S16+'F5.1 (N)'!D16</f>
        <v>0</v>
      </c>
      <c r="T16" s="451">
        <f>'F5'!T16+'F5.1 (N)'!E16</f>
        <v>0</v>
      </c>
      <c r="U16" s="451">
        <f>'F5'!U16+'F5.1 (N)'!F16</f>
        <v>0</v>
      </c>
      <c r="V16" s="451">
        <f>'F5'!V16+'F5.1 (N)'!G16</f>
        <v>0</v>
      </c>
      <c r="W16" s="428">
        <f t="shared" si="5"/>
        <v>0</v>
      </c>
    </row>
    <row r="17" spans="2:23" s="404" customFormat="1" x14ac:dyDescent="0.3">
      <c r="B17" s="448">
        <f t="shared" si="6"/>
        <v>4</v>
      </c>
      <c r="C17" s="450" t="s">
        <v>848</v>
      </c>
      <c r="D17" s="451">
        <f>'F5'!D17</f>
        <v>68.092653000000013</v>
      </c>
      <c r="E17" s="451">
        <f>'F5'!E17</f>
        <v>0</v>
      </c>
      <c r="F17" s="451">
        <f>'F5'!F17</f>
        <v>0</v>
      </c>
      <c r="G17" s="451">
        <f>'F5'!G17</f>
        <v>0</v>
      </c>
      <c r="H17" s="451">
        <f t="shared" si="1"/>
        <v>68.092653000000013</v>
      </c>
      <c r="I17" s="428">
        <f t="shared" si="2"/>
        <v>68.092653000000013</v>
      </c>
      <c r="J17" s="451">
        <f>'F5'!J17</f>
        <v>0</v>
      </c>
      <c r="K17" s="451">
        <f>'F5'!K17</f>
        <v>0</v>
      </c>
      <c r="L17" s="451">
        <f>'F5'!L17</f>
        <v>0</v>
      </c>
      <c r="M17" s="428">
        <f t="shared" si="3"/>
        <v>68.092653000000013</v>
      </c>
      <c r="N17" s="451">
        <f t="shared" si="0"/>
        <v>68.092653000000013</v>
      </c>
      <c r="O17" s="451">
        <f>'F5'!O17</f>
        <v>0</v>
      </c>
      <c r="P17" s="451">
        <f>'F5'!P17</f>
        <v>0</v>
      </c>
      <c r="Q17" s="451">
        <f>'F5'!Q17</f>
        <v>0</v>
      </c>
      <c r="R17" s="451">
        <f t="shared" si="4"/>
        <v>68.092653000000013</v>
      </c>
      <c r="S17" s="428">
        <f>'F5'!S17+'F5.1 (N)'!D17</f>
        <v>68.092653000000013</v>
      </c>
      <c r="T17" s="451">
        <f>'F5'!T17+'F5.1 (N)'!E17</f>
        <v>0</v>
      </c>
      <c r="U17" s="451">
        <f>'F5'!U17+'F5.1 (N)'!F17</f>
        <v>0</v>
      </c>
      <c r="V17" s="451">
        <f>'F5'!V17+'F5.1 (N)'!G17</f>
        <v>0</v>
      </c>
      <c r="W17" s="428">
        <f t="shared" si="5"/>
        <v>68.092653000000013</v>
      </c>
    </row>
    <row r="18" spans="2:23" s="404" customFormat="1" x14ac:dyDescent="0.3">
      <c r="B18" s="448">
        <f t="shared" si="6"/>
        <v>5</v>
      </c>
      <c r="C18" s="450" t="s">
        <v>849</v>
      </c>
      <c r="D18" s="451">
        <f>'F5'!D18</f>
        <v>84.548094000000006</v>
      </c>
      <c r="E18" s="451">
        <f>'F5'!E18</f>
        <v>0</v>
      </c>
      <c r="F18" s="451">
        <f>'F5'!F18</f>
        <v>0</v>
      </c>
      <c r="G18" s="451">
        <f>'F5'!G18</f>
        <v>0</v>
      </c>
      <c r="H18" s="451">
        <f t="shared" si="1"/>
        <v>84.548094000000006</v>
      </c>
      <c r="I18" s="428">
        <f t="shared" si="2"/>
        <v>84.548094000000006</v>
      </c>
      <c r="J18" s="451">
        <f>'F5'!J18</f>
        <v>0</v>
      </c>
      <c r="K18" s="451">
        <f>'F5'!K18</f>
        <v>0</v>
      </c>
      <c r="L18" s="451">
        <f>'F5'!L18</f>
        <v>0</v>
      </c>
      <c r="M18" s="428">
        <f t="shared" si="3"/>
        <v>84.548094000000006</v>
      </c>
      <c r="N18" s="451">
        <f t="shared" si="0"/>
        <v>84.548094000000006</v>
      </c>
      <c r="O18" s="451">
        <f>'F5'!O18</f>
        <v>0</v>
      </c>
      <c r="P18" s="451">
        <f>'F5'!P18</f>
        <v>0</v>
      </c>
      <c r="Q18" s="451">
        <f>'F5'!Q18</f>
        <v>0</v>
      </c>
      <c r="R18" s="451">
        <f t="shared" si="4"/>
        <v>84.548094000000006</v>
      </c>
      <c r="S18" s="428">
        <f>'F5'!S18+'F5.1 (N)'!D18</f>
        <v>84.548094000000006</v>
      </c>
      <c r="T18" s="451">
        <f>'F5'!T18+'F5.1 (N)'!E18</f>
        <v>0</v>
      </c>
      <c r="U18" s="451">
        <f>'F5'!U18+'F5.1 (N)'!F18</f>
        <v>0</v>
      </c>
      <c r="V18" s="451">
        <f>'F5'!V18+'F5.1 (N)'!G18</f>
        <v>0</v>
      </c>
      <c r="W18" s="428">
        <f t="shared" si="5"/>
        <v>84.548094000000006</v>
      </c>
    </row>
    <row r="19" spans="2:23" s="11" customFormat="1" x14ac:dyDescent="0.3">
      <c r="B19" s="448">
        <f t="shared" si="6"/>
        <v>6</v>
      </c>
      <c r="C19" s="450" t="s">
        <v>256</v>
      </c>
      <c r="D19" s="451">
        <f>'F5'!D19</f>
        <v>284.46188582518442</v>
      </c>
      <c r="E19" s="451">
        <f>'F5'!E19</f>
        <v>0</v>
      </c>
      <c r="F19" s="451">
        <f>'F5'!F19</f>
        <v>0</v>
      </c>
      <c r="G19" s="451">
        <f>'F5'!G19</f>
        <v>0</v>
      </c>
      <c r="H19" s="451">
        <f t="shared" si="1"/>
        <v>284.46188582518442</v>
      </c>
      <c r="I19" s="428">
        <f t="shared" si="2"/>
        <v>284.46188582518442</v>
      </c>
      <c r="J19" s="451">
        <f>'F5'!J19</f>
        <v>0</v>
      </c>
      <c r="K19" s="451">
        <f>'F5'!K19</f>
        <v>0</v>
      </c>
      <c r="L19" s="451">
        <f>'F5'!L19</f>
        <v>0</v>
      </c>
      <c r="M19" s="428">
        <f t="shared" si="3"/>
        <v>284.46188582518442</v>
      </c>
      <c r="N19" s="451">
        <f t="shared" si="0"/>
        <v>284.46188582518442</v>
      </c>
      <c r="O19" s="451">
        <f>'F5'!O19</f>
        <v>5.54</v>
      </c>
      <c r="P19" s="451">
        <f>'F5'!P19</f>
        <v>0</v>
      </c>
      <c r="Q19" s="451">
        <f>'F5'!Q19</f>
        <v>0</v>
      </c>
      <c r="R19" s="451">
        <f t="shared" si="4"/>
        <v>290.00188582518444</v>
      </c>
      <c r="S19" s="428">
        <f>'F5'!S19+'F5.1 (N)'!D19</f>
        <v>290.00188582518444</v>
      </c>
      <c r="T19" s="451">
        <f>'F5'!T19+'F5.1 (N)'!E19</f>
        <v>0</v>
      </c>
      <c r="U19" s="451">
        <f>'F5'!U19+'F5.1 (N)'!F19</f>
        <v>0</v>
      </c>
      <c r="V19" s="451">
        <f>'F5'!V19+'F5.1 (N)'!G19</f>
        <v>0</v>
      </c>
      <c r="W19" s="428">
        <f t="shared" si="5"/>
        <v>290.00188582518444</v>
      </c>
    </row>
    <row r="20" spans="2:23" s="11" customFormat="1" x14ac:dyDescent="0.3">
      <c r="B20" s="448">
        <f t="shared" si="6"/>
        <v>7</v>
      </c>
      <c r="C20" s="450" t="s">
        <v>850</v>
      </c>
      <c r="D20" s="451">
        <f>'F5'!D20</f>
        <v>2.5012226291655084</v>
      </c>
      <c r="E20" s="451">
        <f>'F5'!E20</f>
        <v>0</v>
      </c>
      <c r="F20" s="451">
        <f>'F5'!F20</f>
        <v>0</v>
      </c>
      <c r="G20" s="451">
        <f>'F5'!G20</f>
        <v>0</v>
      </c>
      <c r="H20" s="451">
        <f t="shared" si="1"/>
        <v>2.5012226291655084</v>
      </c>
      <c r="I20" s="428">
        <f t="shared" si="2"/>
        <v>2.5012226291655084</v>
      </c>
      <c r="J20" s="451">
        <f>'F5'!J20</f>
        <v>0</v>
      </c>
      <c r="K20" s="451">
        <f>'F5'!K20</f>
        <v>0</v>
      </c>
      <c r="L20" s="451">
        <f>'F5'!L20</f>
        <v>0</v>
      </c>
      <c r="M20" s="428">
        <f t="shared" si="3"/>
        <v>2.5012226291655084</v>
      </c>
      <c r="N20" s="451">
        <f t="shared" si="0"/>
        <v>2.5012226291655084</v>
      </c>
      <c r="O20" s="451">
        <f>'F5'!O20</f>
        <v>0</v>
      </c>
      <c r="P20" s="451">
        <f>'F5'!P20</f>
        <v>0</v>
      </c>
      <c r="Q20" s="451">
        <f>'F5'!Q20</f>
        <v>0</v>
      </c>
      <c r="R20" s="451">
        <f t="shared" si="4"/>
        <v>2.5012226291655084</v>
      </c>
      <c r="S20" s="428">
        <f>'F5'!S20+'F5.1 (N)'!D20</f>
        <v>2.5012226291655084</v>
      </c>
      <c r="T20" s="451">
        <f>'F5'!T20+'F5.1 (N)'!E20</f>
        <v>0</v>
      </c>
      <c r="U20" s="451">
        <f>'F5'!U20+'F5.1 (N)'!F20</f>
        <v>0</v>
      </c>
      <c r="V20" s="451">
        <f>'F5'!V20+'F5.1 (N)'!G20</f>
        <v>0</v>
      </c>
      <c r="W20" s="428">
        <f t="shared" si="5"/>
        <v>2.5012226291655084</v>
      </c>
    </row>
    <row r="21" spans="2:23" s="11" customFormat="1" x14ac:dyDescent="0.3">
      <c r="B21" s="448">
        <f t="shared" si="6"/>
        <v>8</v>
      </c>
      <c r="C21" s="450" t="s">
        <v>851</v>
      </c>
      <c r="D21" s="451">
        <f>'F5'!D21</f>
        <v>6.1432788998907202E-2</v>
      </c>
      <c r="E21" s="451">
        <f>'F5'!E21</f>
        <v>0</v>
      </c>
      <c r="F21" s="451">
        <f>'F5'!F21</f>
        <v>0</v>
      </c>
      <c r="G21" s="451">
        <f>'F5'!G21</f>
        <v>0</v>
      </c>
      <c r="H21" s="451">
        <f t="shared" si="1"/>
        <v>6.1432788998907202E-2</v>
      </c>
      <c r="I21" s="428">
        <f t="shared" si="2"/>
        <v>6.1432788998907202E-2</v>
      </c>
      <c r="J21" s="451">
        <f>'F5'!J21</f>
        <v>0</v>
      </c>
      <c r="K21" s="451">
        <f>'F5'!K21</f>
        <v>0</v>
      </c>
      <c r="L21" s="451">
        <f>'F5'!L21</f>
        <v>0</v>
      </c>
      <c r="M21" s="428">
        <f t="shared" si="3"/>
        <v>6.1432788998907202E-2</v>
      </c>
      <c r="N21" s="451">
        <f t="shared" si="0"/>
        <v>6.1432788998907202E-2</v>
      </c>
      <c r="O21" s="451">
        <f>'F5'!O21</f>
        <v>0</v>
      </c>
      <c r="P21" s="451">
        <f>'F5'!P21</f>
        <v>0</v>
      </c>
      <c r="Q21" s="451">
        <f>'F5'!Q21</f>
        <v>0</v>
      </c>
      <c r="R21" s="451">
        <f t="shared" si="4"/>
        <v>6.1432788998907202E-2</v>
      </c>
      <c r="S21" s="428">
        <f>'F5'!S21+'F5.1 (N)'!D21</f>
        <v>6.1432788998907202E-2</v>
      </c>
      <c r="T21" s="451">
        <f>'F5'!T21+'F5.1 (N)'!E21</f>
        <v>0</v>
      </c>
      <c r="U21" s="451">
        <f>'F5'!U21+'F5.1 (N)'!F21</f>
        <v>0</v>
      </c>
      <c r="V21" s="451">
        <f>'F5'!V21+'F5.1 (N)'!G21</f>
        <v>0</v>
      </c>
      <c r="W21" s="428">
        <f t="shared" si="5"/>
        <v>6.1432788998907202E-2</v>
      </c>
    </row>
    <row r="22" spans="2:23" s="11" customFormat="1" x14ac:dyDescent="0.3">
      <c r="B22" s="448">
        <f t="shared" si="6"/>
        <v>9</v>
      </c>
      <c r="C22" s="450" t="s">
        <v>852</v>
      </c>
      <c r="D22" s="451">
        <f>'F5'!D22</f>
        <v>0</v>
      </c>
      <c r="E22" s="451">
        <f>'F5'!E22</f>
        <v>0</v>
      </c>
      <c r="F22" s="451">
        <f>'F5'!F22</f>
        <v>0</v>
      </c>
      <c r="G22" s="451">
        <f>'F5'!G22</f>
        <v>0</v>
      </c>
      <c r="H22" s="451">
        <f t="shared" si="1"/>
        <v>0</v>
      </c>
      <c r="I22" s="428">
        <f t="shared" si="2"/>
        <v>0</v>
      </c>
      <c r="J22" s="451">
        <f>'F5'!J22</f>
        <v>0</v>
      </c>
      <c r="K22" s="451">
        <f>'F5'!K22</f>
        <v>0</v>
      </c>
      <c r="L22" s="451">
        <f>'F5'!L22</f>
        <v>0</v>
      </c>
      <c r="M22" s="428">
        <f t="shared" si="3"/>
        <v>0</v>
      </c>
      <c r="N22" s="451">
        <f t="shared" si="0"/>
        <v>0</v>
      </c>
      <c r="O22" s="451">
        <f>'F5'!O22</f>
        <v>0</v>
      </c>
      <c r="P22" s="451">
        <f>'F5'!P22</f>
        <v>0</v>
      </c>
      <c r="Q22" s="451">
        <f>'F5'!Q22</f>
        <v>0</v>
      </c>
      <c r="R22" s="451">
        <f t="shared" si="4"/>
        <v>0</v>
      </c>
      <c r="S22" s="428">
        <f>'F5'!S22+'F5.1 (N)'!D22</f>
        <v>0</v>
      </c>
      <c r="T22" s="451">
        <f>'F5'!T22+'F5.1 (N)'!E22</f>
        <v>0</v>
      </c>
      <c r="U22" s="451">
        <f>'F5'!U22+'F5.1 (N)'!F22</f>
        <v>0</v>
      </c>
      <c r="V22" s="451">
        <f>'F5'!V22+'F5.1 (N)'!G22</f>
        <v>0</v>
      </c>
      <c r="W22" s="428">
        <f t="shared" si="5"/>
        <v>0</v>
      </c>
    </row>
    <row r="23" spans="2:23" s="11" customFormat="1" x14ac:dyDescent="0.3">
      <c r="B23" s="448">
        <f t="shared" si="6"/>
        <v>10</v>
      </c>
      <c r="C23" s="450" t="s">
        <v>259</v>
      </c>
      <c r="D23" s="451">
        <f>'F5'!D23</f>
        <v>1.3493630999999997</v>
      </c>
      <c r="E23" s="451">
        <f>'F5'!E23</f>
        <v>0</v>
      </c>
      <c r="F23" s="451">
        <f>'F5'!F23</f>
        <v>0</v>
      </c>
      <c r="G23" s="451">
        <f>'F5'!G23</f>
        <v>0</v>
      </c>
      <c r="H23" s="451">
        <f t="shared" si="1"/>
        <v>1.3493630999999997</v>
      </c>
      <c r="I23" s="428">
        <f t="shared" si="2"/>
        <v>1.3493630999999997</v>
      </c>
      <c r="J23" s="451">
        <f>'F5'!J23</f>
        <v>0</v>
      </c>
      <c r="K23" s="451">
        <f>'F5'!K23</f>
        <v>0</v>
      </c>
      <c r="L23" s="451">
        <f>'F5'!L23</f>
        <v>0</v>
      </c>
      <c r="M23" s="428">
        <f t="shared" si="3"/>
        <v>1.3493630999999997</v>
      </c>
      <c r="N23" s="451">
        <f t="shared" si="0"/>
        <v>1.3493630999999997</v>
      </c>
      <c r="O23" s="451">
        <f>'F5'!O23</f>
        <v>0</v>
      </c>
      <c r="P23" s="451">
        <f>'F5'!P23</f>
        <v>0</v>
      </c>
      <c r="Q23" s="451">
        <f>'F5'!Q23</f>
        <v>0</v>
      </c>
      <c r="R23" s="451">
        <f t="shared" si="4"/>
        <v>1.3493630999999997</v>
      </c>
      <c r="S23" s="428">
        <f>'F5'!S23+'F5.1 (N)'!D23</f>
        <v>1.3493630999999997</v>
      </c>
      <c r="T23" s="451">
        <f>'F5'!T23+'F5.1 (N)'!E23</f>
        <v>0</v>
      </c>
      <c r="U23" s="451">
        <f>'F5'!U23+'F5.1 (N)'!F23</f>
        <v>0</v>
      </c>
      <c r="V23" s="451">
        <f>'F5'!V23+'F5.1 (N)'!G23</f>
        <v>0</v>
      </c>
      <c r="W23" s="428">
        <f t="shared" si="5"/>
        <v>1.3493630999999997</v>
      </c>
    </row>
    <row r="24" spans="2:23" s="11" customFormat="1" x14ac:dyDescent="0.3">
      <c r="B24" s="448">
        <f t="shared" si="6"/>
        <v>11</v>
      </c>
      <c r="C24" s="450" t="s">
        <v>260</v>
      </c>
      <c r="D24" s="451">
        <f>'F5'!D24</f>
        <v>0.68764251023976741</v>
      </c>
      <c r="E24" s="451">
        <f>'F5'!E24</f>
        <v>3.4999940000000002E-3</v>
      </c>
      <c r="F24" s="451">
        <f>'F5'!F24</f>
        <v>0</v>
      </c>
      <c r="G24" s="451">
        <f>'F5'!G24</f>
        <v>0</v>
      </c>
      <c r="H24" s="451">
        <f t="shared" si="1"/>
        <v>0.69114250423976742</v>
      </c>
      <c r="I24" s="428">
        <f t="shared" si="2"/>
        <v>0.69114250423976742</v>
      </c>
      <c r="J24" s="451">
        <f>'F5'!J24</f>
        <v>0.20719743600000001</v>
      </c>
      <c r="K24" s="451">
        <f>'F5'!K24</f>
        <v>0</v>
      </c>
      <c r="L24" s="451">
        <f>'F5'!L24</f>
        <v>0</v>
      </c>
      <c r="M24" s="428">
        <f t="shared" si="3"/>
        <v>0.89833994023976738</v>
      </c>
      <c r="N24" s="451">
        <f t="shared" si="0"/>
        <v>0.89833994023976738</v>
      </c>
      <c r="O24" s="451">
        <f>'F5'!O24</f>
        <v>8.5352800000000006E-2</v>
      </c>
      <c r="P24" s="451">
        <f>'F5'!P24</f>
        <v>0</v>
      </c>
      <c r="Q24" s="451">
        <f>'F5'!Q24</f>
        <v>0</v>
      </c>
      <c r="R24" s="451">
        <f t="shared" si="4"/>
        <v>0.98369274023976738</v>
      </c>
      <c r="S24" s="428">
        <f>'F5'!S24+'F5.1 (N)'!D24</f>
        <v>0.98369274023976738</v>
      </c>
      <c r="T24" s="451">
        <f>'F5'!T24+'F5.1 (N)'!E24</f>
        <v>0</v>
      </c>
      <c r="U24" s="451">
        <f>'F5'!U24+'F5.1 (N)'!F24</f>
        <v>0</v>
      </c>
      <c r="V24" s="451">
        <f>'F5'!V24+'F5.1 (N)'!G24</f>
        <v>0</v>
      </c>
      <c r="W24" s="428">
        <f t="shared" si="5"/>
        <v>0.98369274023976738</v>
      </c>
    </row>
    <row r="25" spans="2:23" s="11" customFormat="1" x14ac:dyDescent="0.3">
      <c r="B25" s="448">
        <f t="shared" si="6"/>
        <v>12</v>
      </c>
      <c r="C25" s="450" t="s">
        <v>261</v>
      </c>
      <c r="D25" s="451">
        <f>'F5'!D25</f>
        <v>2.1976664630416263</v>
      </c>
      <c r="E25" s="451">
        <f>'F5'!E25</f>
        <v>0</v>
      </c>
      <c r="F25" s="451">
        <f>'F5'!F25</f>
        <v>0</v>
      </c>
      <c r="G25" s="451">
        <f>'F5'!G25</f>
        <v>0</v>
      </c>
      <c r="H25" s="451">
        <f t="shared" si="1"/>
        <v>2.1976664630416263</v>
      </c>
      <c r="I25" s="428">
        <f t="shared" si="2"/>
        <v>2.1976664630416263</v>
      </c>
      <c r="J25" s="451">
        <f>'F5'!J25</f>
        <v>0</v>
      </c>
      <c r="K25" s="451">
        <f>'F5'!K25</f>
        <v>0</v>
      </c>
      <c r="L25" s="451">
        <f>'F5'!L25</f>
        <v>0</v>
      </c>
      <c r="M25" s="428">
        <f t="shared" si="3"/>
        <v>2.1976664630416263</v>
      </c>
      <c r="N25" s="451">
        <f t="shared" si="0"/>
        <v>2.1976664630416263</v>
      </c>
      <c r="O25" s="451">
        <f>'F5'!O25</f>
        <v>0</v>
      </c>
      <c r="P25" s="451">
        <f>'F5'!P25</f>
        <v>0</v>
      </c>
      <c r="Q25" s="451">
        <f>'F5'!Q25</f>
        <v>0</v>
      </c>
      <c r="R25" s="451">
        <f t="shared" si="4"/>
        <v>2.1976664630416263</v>
      </c>
      <c r="S25" s="428">
        <f>'F5'!S25+'F5.1 (N)'!D25</f>
        <v>2.1976664630416263</v>
      </c>
      <c r="T25" s="451">
        <f>'F5'!T25+'F5.1 (N)'!E25</f>
        <v>0</v>
      </c>
      <c r="U25" s="451">
        <f>'F5'!U25+'F5.1 (N)'!F25</f>
        <v>0</v>
      </c>
      <c r="V25" s="451">
        <f>'F5'!V25+'F5.1 (N)'!G25</f>
        <v>0</v>
      </c>
      <c r="W25" s="428">
        <f t="shared" si="5"/>
        <v>2.1976664630416263</v>
      </c>
    </row>
    <row r="26" spans="2:23" s="11" customFormat="1" x14ac:dyDescent="0.3">
      <c r="B26" s="448">
        <f t="shared" si="6"/>
        <v>13</v>
      </c>
      <c r="C26" s="450" t="s">
        <v>899</v>
      </c>
      <c r="D26" s="451">
        <f>'F5'!D26</f>
        <v>0</v>
      </c>
      <c r="E26" s="451">
        <f>'F5'!E26</f>
        <v>0</v>
      </c>
      <c r="F26" s="451">
        <f>'F5'!F26</f>
        <v>0</v>
      </c>
      <c r="G26" s="451">
        <f>'F5'!G26</f>
        <v>0</v>
      </c>
      <c r="H26" s="451">
        <f t="shared" si="1"/>
        <v>0</v>
      </c>
      <c r="I26" s="428">
        <f t="shared" si="2"/>
        <v>0</v>
      </c>
      <c r="J26" s="451">
        <f>'F5'!J26</f>
        <v>0</v>
      </c>
      <c r="K26" s="451">
        <f>'F5'!K26</f>
        <v>0</v>
      </c>
      <c r="L26" s="451">
        <f>'F5'!L26</f>
        <v>0</v>
      </c>
      <c r="M26" s="428">
        <f t="shared" si="3"/>
        <v>0</v>
      </c>
      <c r="N26" s="451">
        <f t="shared" si="0"/>
        <v>0</v>
      </c>
      <c r="O26" s="451">
        <f>'F5'!O26</f>
        <v>0</v>
      </c>
      <c r="P26" s="451">
        <f>'F5'!P26</f>
        <v>0</v>
      </c>
      <c r="Q26" s="451">
        <f>'F5'!Q26</f>
        <v>0</v>
      </c>
      <c r="R26" s="451">
        <f t="shared" si="4"/>
        <v>0</v>
      </c>
      <c r="S26" s="428">
        <f>'F5'!S26+'F5.1 (N)'!D26</f>
        <v>0</v>
      </c>
      <c r="T26" s="451">
        <f>'F5'!T26+'F5.1 (N)'!E26</f>
        <v>0</v>
      </c>
      <c r="U26" s="451">
        <f>'F5'!U26+'F5.1 (N)'!F26</f>
        <v>0</v>
      </c>
      <c r="V26" s="451">
        <f>'F5'!V26+'F5.1 (N)'!G26</f>
        <v>0</v>
      </c>
      <c r="W26" s="428">
        <f t="shared" si="5"/>
        <v>0</v>
      </c>
    </row>
    <row r="27" spans="2:23" s="11" customFormat="1" x14ac:dyDescent="0.3">
      <c r="B27" s="448">
        <f t="shared" si="6"/>
        <v>14</v>
      </c>
      <c r="C27" s="450" t="s">
        <v>900</v>
      </c>
      <c r="D27" s="451">
        <f>'F5'!D27</f>
        <v>0</v>
      </c>
      <c r="E27" s="451">
        <f>'F5'!E27</f>
        <v>0.258863014</v>
      </c>
      <c r="F27" s="451">
        <f>'F5'!F27</f>
        <v>0.28014050000000001</v>
      </c>
      <c r="G27" s="451">
        <f>'F5'!G27</f>
        <v>0</v>
      </c>
      <c r="H27" s="451">
        <f t="shared" si="1"/>
        <v>-2.1277486000000012E-2</v>
      </c>
      <c r="I27" s="428">
        <f t="shared" si="2"/>
        <v>-2.1277486000000012E-2</v>
      </c>
      <c r="J27" s="451">
        <f>'F5'!J27</f>
        <v>6.3896999999999999E-3</v>
      </c>
      <c r="K27" s="451">
        <f>'F5'!K27</f>
        <v>0</v>
      </c>
      <c r="L27" s="451">
        <f>'F5'!L27</f>
        <v>0</v>
      </c>
      <c r="M27" s="428">
        <f t="shared" si="3"/>
        <v>-1.4887786000000012E-2</v>
      </c>
      <c r="N27" s="451">
        <f t="shared" si="0"/>
        <v>-1.4887786000000012E-2</v>
      </c>
      <c r="O27" s="451">
        <f>'F5'!O27</f>
        <v>0</v>
      </c>
      <c r="P27" s="451">
        <f>'F5'!P27</f>
        <v>0</v>
      </c>
      <c r="Q27" s="451">
        <f>'F5'!Q27</f>
        <v>0</v>
      </c>
      <c r="R27" s="451">
        <f t="shared" si="4"/>
        <v>-1.4887786000000012E-2</v>
      </c>
      <c r="S27" s="428">
        <f>'F5'!S27+'F5.1 (N)'!D27</f>
        <v>-1.4887786000000012E-2</v>
      </c>
      <c r="T27" s="451">
        <f>'F5'!T27+'F5.1 (N)'!E27</f>
        <v>0</v>
      </c>
      <c r="U27" s="451">
        <f>'F5'!U27+'F5.1 (N)'!F27</f>
        <v>0</v>
      </c>
      <c r="V27" s="451">
        <f>'F5'!V27+'F5.1 (N)'!G27</f>
        <v>0</v>
      </c>
      <c r="W27" s="428">
        <f t="shared" si="5"/>
        <v>-1.4887786000000012E-2</v>
      </c>
    </row>
    <row r="28" spans="2:23" s="11" customFormat="1" x14ac:dyDescent="0.3">
      <c r="B28" s="448">
        <f t="shared" si="6"/>
        <v>15</v>
      </c>
      <c r="C28" s="450" t="s">
        <v>901</v>
      </c>
      <c r="D28" s="451">
        <f>'F5'!D28</f>
        <v>0</v>
      </c>
      <c r="E28" s="451">
        <f>'F5'!E28</f>
        <v>0</v>
      </c>
      <c r="F28" s="451">
        <f>'F5'!F28</f>
        <v>0</v>
      </c>
      <c r="G28" s="451">
        <f>'F5'!G28</f>
        <v>0</v>
      </c>
      <c r="H28" s="451">
        <f t="shared" si="1"/>
        <v>0</v>
      </c>
      <c r="I28" s="428">
        <f t="shared" si="2"/>
        <v>0</v>
      </c>
      <c r="J28" s="451">
        <f>'F5'!J28</f>
        <v>0</v>
      </c>
      <c r="K28" s="451">
        <f>'F5'!K28</f>
        <v>0</v>
      </c>
      <c r="L28" s="451">
        <f>'F5'!L28</f>
        <v>0</v>
      </c>
      <c r="M28" s="428">
        <f t="shared" si="3"/>
        <v>0</v>
      </c>
      <c r="N28" s="451">
        <f t="shared" si="0"/>
        <v>0</v>
      </c>
      <c r="O28" s="451">
        <f>'F5'!O28</f>
        <v>0</v>
      </c>
      <c r="P28" s="451">
        <f>'F5'!P28</f>
        <v>0</v>
      </c>
      <c r="Q28" s="451">
        <f>'F5'!Q28</f>
        <v>0</v>
      </c>
      <c r="R28" s="451">
        <f t="shared" si="4"/>
        <v>0</v>
      </c>
      <c r="S28" s="428">
        <f>'F5'!S28+'F5.1 (N)'!D28</f>
        <v>0</v>
      </c>
      <c r="T28" s="451">
        <f>'F5'!T28+'F5.1 (N)'!E28</f>
        <v>0</v>
      </c>
      <c r="U28" s="451">
        <f>'F5'!U28+'F5.1 (N)'!F28</f>
        <v>0</v>
      </c>
      <c r="V28" s="451">
        <f>'F5'!V28+'F5.1 (N)'!G28</f>
        <v>0</v>
      </c>
      <c r="W28" s="428">
        <f t="shared" si="5"/>
        <v>0</v>
      </c>
    </row>
    <row r="29" spans="2:23" s="11" customFormat="1" x14ac:dyDescent="0.3">
      <c r="B29" s="448">
        <f t="shared" si="6"/>
        <v>16</v>
      </c>
      <c r="C29" s="450" t="s">
        <v>853</v>
      </c>
      <c r="D29" s="451">
        <f>'F5'!D29</f>
        <v>0</v>
      </c>
      <c r="E29" s="451">
        <f>'F5'!E29</f>
        <v>0</v>
      </c>
      <c r="F29" s="451">
        <f>'F5'!F29</f>
        <v>0</v>
      </c>
      <c r="G29" s="451">
        <f>'F5'!G29</f>
        <v>0</v>
      </c>
      <c r="H29" s="451">
        <f t="shared" si="1"/>
        <v>0</v>
      </c>
      <c r="I29" s="428">
        <f t="shared" si="2"/>
        <v>0</v>
      </c>
      <c r="J29" s="451">
        <f>'F5'!J29</f>
        <v>0</v>
      </c>
      <c r="K29" s="451">
        <f>'F5'!K29</f>
        <v>0</v>
      </c>
      <c r="L29" s="451">
        <f>'F5'!L29</f>
        <v>0</v>
      </c>
      <c r="M29" s="428">
        <f t="shared" si="3"/>
        <v>0</v>
      </c>
      <c r="N29" s="451">
        <f t="shared" si="0"/>
        <v>0</v>
      </c>
      <c r="O29" s="451">
        <f>'F5'!O29</f>
        <v>0</v>
      </c>
      <c r="P29" s="451">
        <f>'F5'!P29</f>
        <v>0</v>
      </c>
      <c r="Q29" s="451">
        <f>'F5'!Q29</f>
        <v>0</v>
      </c>
      <c r="R29" s="451">
        <f t="shared" si="4"/>
        <v>0</v>
      </c>
      <c r="S29" s="428">
        <f>'F5'!S29+'F5.1 (N)'!D29</f>
        <v>0</v>
      </c>
      <c r="T29" s="451">
        <f>'F5'!T29+'F5.1 (N)'!E29</f>
        <v>0</v>
      </c>
      <c r="U29" s="451">
        <f>'F5'!U29+'F5.1 (N)'!F29</f>
        <v>0</v>
      </c>
      <c r="V29" s="451">
        <f>'F5'!V29+'F5.1 (N)'!G29</f>
        <v>0</v>
      </c>
      <c r="W29" s="428">
        <f t="shared" si="5"/>
        <v>0</v>
      </c>
    </row>
    <row r="30" spans="2:23" s="11" customFormat="1" x14ac:dyDescent="0.3">
      <c r="B30" s="448">
        <f t="shared" si="6"/>
        <v>17</v>
      </c>
      <c r="C30" s="450" t="s">
        <v>902</v>
      </c>
      <c r="D30" s="451">
        <f>'F5'!D30</f>
        <v>0</v>
      </c>
      <c r="E30" s="451">
        <f>'F5'!E30</f>
        <v>0</v>
      </c>
      <c r="F30" s="451">
        <f>'F5'!F30</f>
        <v>0</v>
      </c>
      <c r="G30" s="451">
        <f>'F5'!G30</f>
        <v>0</v>
      </c>
      <c r="H30" s="451">
        <f t="shared" si="1"/>
        <v>0</v>
      </c>
      <c r="I30" s="428">
        <f t="shared" si="2"/>
        <v>0</v>
      </c>
      <c r="J30" s="451">
        <f>'F5'!J30</f>
        <v>0</v>
      </c>
      <c r="K30" s="451">
        <f>'F5'!K30</f>
        <v>0</v>
      </c>
      <c r="L30" s="451">
        <f>'F5'!L30</f>
        <v>0</v>
      </c>
      <c r="M30" s="428">
        <f t="shared" si="3"/>
        <v>0</v>
      </c>
      <c r="N30" s="451">
        <f t="shared" si="0"/>
        <v>0</v>
      </c>
      <c r="O30" s="451">
        <f>'F5'!O30</f>
        <v>0</v>
      </c>
      <c r="P30" s="451">
        <f>'F5'!P30</f>
        <v>0</v>
      </c>
      <c r="Q30" s="451">
        <f>'F5'!Q30</f>
        <v>0</v>
      </c>
      <c r="R30" s="451">
        <f t="shared" si="4"/>
        <v>0</v>
      </c>
      <c r="S30" s="428">
        <f>'F5'!S30+'F5.1 (N)'!D30</f>
        <v>0</v>
      </c>
      <c r="T30" s="451">
        <f>'F5'!T30+'F5.1 (N)'!E30</f>
        <v>0</v>
      </c>
      <c r="U30" s="451">
        <f>'F5'!U30+'F5.1 (N)'!F30</f>
        <v>0</v>
      </c>
      <c r="V30" s="451">
        <f>'F5'!V30+'F5.1 (N)'!G30</f>
        <v>0</v>
      </c>
      <c r="W30" s="428">
        <f t="shared" si="5"/>
        <v>0</v>
      </c>
    </row>
    <row r="31" spans="2:23" s="1" customFormat="1" ht="16" x14ac:dyDescent="0.3">
      <c r="B31" s="78"/>
      <c r="C31" s="92" t="s">
        <v>271</v>
      </c>
      <c r="D31" s="345">
        <f>SUM(D14:D30)</f>
        <v>465.85198681252064</v>
      </c>
      <c r="E31" s="345">
        <f>SUM(E14:E30)</f>
        <v>0.26236300800000001</v>
      </c>
      <c r="F31" s="345">
        <f t="shared" ref="F31:W31" si="7">SUM(F14:F30)</f>
        <v>0.28014050000000001</v>
      </c>
      <c r="G31" s="345">
        <f t="shared" si="7"/>
        <v>0</v>
      </c>
      <c r="H31" s="345">
        <f t="shared" si="7"/>
        <v>465.8342093205207</v>
      </c>
      <c r="I31" s="345">
        <f t="shared" si="7"/>
        <v>465.8342093205207</v>
      </c>
      <c r="J31" s="345">
        <f t="shared" si="7"/>
        <v>0.40792913599999997</v>
      </c>
      <c r="K31" s="345">
        <f t="shared" si="7"/>
        <v>0</v>
      </c>
      <c r="L31" s="345">
        <f t="shared" si="7"/>
        <v>0</v>
      </c>
      <c r="M31" s="345">
        <f t="shared" si="7"/>
        <v>466.24213845652071</v>
      </c>
      <c r="N31" s="345">
        <f t="shared" si="7"/>
        <v>466.24213845652071</v>
      </c>
      <c r="O31" s="345">
        <f t="shared" si="7"/>
        <v>5.6253527999999999</v>
      </c>
      <c r="P31" s="345">
        <f t="shared" si="7"/>
        <v>0</v>
      </c>
      <c r="Q31" s="345">
        <f t="shared" si="7"/>
        <v>0</v>
      </c>
      <c r="R31" s="345">
        <f t="shared" si="7"/>
        <v>471.86749125652068</v>
      </c>
      <c r="S31" s="345">
        <f t="shared" si="7"/>
        <v>471.86749125652068</v>
      </c>
      <c r="T31" s="345">
        <f t="shared" si="7"/>
        <v>0</v>
      </c>
      <c r="U31" s="345">
        <f t="shared" si="7"/>
        <v>0</v>
      </c>
      <c r="V31" s="345">
        <f t="shared" si="7"/>
        <v>0</v>
      </c>
      <c r="W31" s="345">
        <f t="shared" si="7"/>
        <v>471.86749125652068</v>
      </c>
    </row>
    <row r="32" spans="2:23" s="1" customFormat="1" x14ac:dyDescent="0.3">
      <c r="B32" s="1026"/>
      <c r="C32" s="8"/>
      <c r="D32" s="8"/>
      <c r="E32" s="8"/>
      <c r="F32" s="8"/>
      <c r="G32" s="8"/>
      <c r="H32" s="8"/>
      <c r="J32" s="42"/>
      <c r="M32" s="42"/>
      <c r="N32" s="42"/>
    </row>
    <row r="33" spans="1:33" x14ac:dyDescent="0.3">
      <c r="B33" s="1769" t="s">
        <v>597</v>
      </c>
      <c r="C33" s="1769"/>
      <c r="D33" s="1769"/>
      <c r="E33" s="1769"/>
      <c r="F33" s="1769"/>
      <c r="G33" s="1769"/>
      <c r="H33" s="8"/>
      <c r="I33" s="1"/>
      <c r="J33" s="42"/>
      <c r="K33" s="1"/>
      <c r="L33" s="1"/>
      <c r="M33" s="42"/>
      <c r="N33" s="42"/>
      <c r="O33" s="1"/>
      <c r="P33" s="1"/>
      <c r="Q33" s="1"/>
      <c r="R33" s="1"/>
    </row>
    <row r="34" spans="1:33" x14ac:dyDescent="0.3">
      <c r="B34" s="1026"/>
      <c r="C34" s="8"/>
      <c r="D34" s="8"/>
      <c r="E34" s="8"/>
      <c r="F34" s="8"/>
      <c r="G34" s="8"/>
      <c r="H34" s="8"/>
      <c r="I34" s="1"/>
      <c r="J34" s="42"/>
      <c r="K34" s="1"/>
      <c r="L34" s="1"/>
      <c r="M34" s="42"/>
      <c r="N34" s="42"/>
      <c r="O34" s="1"/>
      <c r="P34" s="1"/>
      <c r="Q34" s="1"/>
      <c r="R34" s="1"/>
    </row>
    <row r="35" spans="1:33" ht="15.75" customHeight="1" x14ac:dyDescent="0.3">
      <c r="B35" s="1026"/>
      <c r="C35" s="8"/>
      <c r="D35" s="8"/>
      <c r="E35" s="8"/>
      <c r="F35" s="8"/>
      <c r="G35" s="8"/>
      <c r="H35" s="8"/>
      <c r="I35" s="1"/>
      <c r="J35" s="42"/>
      <c r="K35" s="1"/>
      <c r="L35" s="1"/>
      <c r="M35" s="42"/>
      <c r="N35" s="42"/>
      <c r="O35" s="1"/>
      <c r="P35" s="1"/>
      <c r="Q35" s="1"/>
      <c r="AG35" s="255" t="s">
        <v>10</v>
      </c>
    </row>
    <row r="36" spans="1:33" ht="15.75" customHeight="1" x14ac:dyDescent="0.3">
      <c r="B36" s="1639" t="s">
        <v>340</v>
      </c>
      <c r="C36" s="1639" t="s">
        <v>38</v>
      </c>
      <c r="D36" s="1766" t="s">
        <v>1068</v>
      </c>
      <c r="E36" s="1767"/>
      <c r="F36" s="1767"/>
      <c r="G36" s="1767"/>
      <c r="H36" s="1768"/>
      <c r="I36" s="1766" t="s">
        <v>1069</v>
      </c>
      <c r="J36" s="1767"/>
      <c r="K36" s="1767"/>
      <c r="L36" s="1767"/>
      <c r="M36" s="1768"/>
      <c r="N36" s="1758" t="s">
        <v>1070</v>
      </c>
      <c r="O36" s="1758"/>
      <c r="P36" s="1758"/>
      <c r="Q36" s="1758"/>
      <c r="R36" s="1758"/>
      <c r="S36" s="1758" t="s">
        <v>1071</v>
      </c>
      <c r="T36" s="1758"/>
      <c r="U36" s="1758"/>
      <c r="V36" s="1758"/>
      <c r="W36" s="1758"/>
    </row>
    <row r="37" spans="1:33" s="35" customFormat="1" x14ac:dyDescent="0.3">
      <c r="B37" s="1639"/>
      <c r="C37" s="1639"/>
      <c r="D37" s="1759" t="s">
        <v>21</v>
      </c>
      <c r="E37" s="1760"/>
      <c r="F37" s="1760"/>
      <c r="G37" s="1760"/>
      <c r="H37" s="1761"/>
      <c r="I37" s="1759" t="s">
        <v>21</v>
      </c>
      <c r="J37" s="1760"/>
      <c r="K37" s="1760"/>
      <c r="L37" s="1760"/>
      <c r="M37" s="1761"/>
      <c r="N37" s="1762" t="s">
        <v>21</v>
      </c>
      <c r="O37" s="1763"/>
      <c r="P37" s="1763"/>
      <c r="Q37" s="1763"/>
      <c r="R37" s="1763"/>
      <c r="S37" s="1762" t="s">
        <v>21</v>
      </c>
      <c r="T37" s="1763"/>
      <c r="U37" s="1763"/>
      <c r="V37" s="1763"/>
      <c r="W37" s="1763"/>
    </row>
    <row r="38" spans="1:33" s="36" customFormat="1" ht="42" x14ac:dyDescent="0.25">
      <c r="B38" s="1639"/>
      <c r="C38" s="1639"/>
      <c r="D38" s="1030" t="s">
        <v>267</v>
      </c>
      <c r="E38" s="1030" t="s">
        <v>268</v>
      </c>
      <c r="F38" s="1030" t="s">
        <v>269</v>
      </c>
      <c r="G38" s="1024" t="s">
        <v>586</v>
      </c>
      <c r="H38" s="1030" t="s">
        <v>270</v>
      </c>
      <c r="I38" s="1030" t="s">
        <v>267</v>
      </c>
      <c r="J38" s="1030" t="s">
        <v>268</v>
      </c>
      <c r="K38" s="1030" t="s">
        <v>269</v>
      </c>
      <c r="L38" s="1024" t="s">
        <v>586</v>
      </c>
      <c r="M38" s="1030" t="s">
        <v>270</v>
      </c>
      <c r="N38" s="1030" t="s">
        <v>267</v>
      </c>
      <c r="O38" s="1030" t="s">
        <v>268</v>
      </c>
      <c r="P38" s="1030" t="s">
        <v>269</v>
      </c>
      <c r="Q38" s="1024" t="s">
        <v>586</v>
      </c>
      <c r="R38" s="1030" t="s">
        <v>270</v>
      </c>
      <c r="S38" s="1030" t="s">
        <v>267</v>
      </c>
      <c r="T38" s="1030" t="s">
        <v>268</v>
      </c>
      <c r="U38" s="1030" t="s">
        <v>269</v>
      </c>
      <c r="V38" s="1024" t="s">
        <v>586</v>
      </c>
      <c r="W38" s="1030" t="s">
        <v>270</v>
      </c>
    </row>
    <row r="39" spans="1:33" s="6" customFormat="1" ht="28" x14ac:dyDescent="0.3">
      <c r="B39" s="256"/>
      <c r="C39" s="256"/>
      <c r="D39" s="256" t="s">
        <v>594</v>
      </c>
      <c r="E39" s="256" t="s">
        <v>595</v>
      </c>
      <c r="F39" s="256" t="s">
        <v>596</v>
      </c>
      <c r="G39" s="256" t="s">
        <v>655</v>
      </c>
      <c r="H39" s="256" t="s">
        <v>656</v>
      </c>
      <c r="I39" s="256" t="s">
        <v>657</v>
      </c>
      <c r="J39" s="256" t="s">
        <v>658</v>
      </c>
      <c r="K39" s="256" t="s">
        <v>659</v>
      </c>
      <c r="L39" s="256" t="s">
        <v>660</v>
      </c>
      <c r="M39" s="256" t="s">
        <v>661</v>
      </c>
      <c r="N39" s="256" t="s">
        <v>662</v>
      </c>
      <c r="O39" s="256" t="s">
        <v>663</v>
      </c>
      <c r="P39" s="256" t="s">
        <v>664</v>
      </c>
      <c r="Q39" s="256" t="s">
        <v>665</v>
      </c>
      <c r="R39" s="256" t="s">
        <v>666</v>
      </c>
      <c r="S39" s="256" t="s">
        <v>1156</v>
      </c>
      <c r="T39" s="256" t="s">
        <v>1157</v>
      </c>
      <c r="U39" s="256" t="s">
        <v>1158</v>
      </c>
      <c r="V39" s="256" t="s">
        <v>1159</v>
      </c>
      <c r="W39" s="256" t="s">
        <v>1160</v>
      </c>
    </row>
    <row r="40" spans="1:33" s="404" customFormat="1" x14ac:dyDescent="0.3">
      <c r="B40" s="448">
        <v>1</v>
      </c>
      <c r="C40" s="450" t="s">
        <v>845</v>
      </c>
      <c r="D40" s="428">
        <f>W14</f>
        <v>3.6007118999999994</v>
      </c>
      <c r="E40" s="451">
        <f>'F5'!E40+'F5.1 (N)'!J14</f>
        <v>0</v>
      </c>
      <c r="F40" s="451">
        <f>'F5'!F40+'F5.1 (N)'!K14</f>
        <v>0</v>
      </c>
      <c r="G40" s="451">
        <f>'F5'!G40+'F5.1 (N)'!L14</f>
        <v>0</v>
      </c>
      <c r="H40" s="428">
        <f>D40+E40-F40-G40</f>
        <v>3.6007118999999994</v>
      </c>
      <c r="I40" s="428">
        <f>H40</f>
        <v>3.6007118999999994</v>
      </c>
      <c r="J40" s="451">
        <f>'F5'!J40+'F5.1 (N)'!O14</f>
        <v>0</v>
      </c>
      <c r="K40" s="451">
        <f>'F5'!K40+'F5.1 (N)'!P14</f>
        <v>0</v>
      </c>
      <c r="L40" s="451">
        <f>'F5'!L40+'F5.1 (N)'!Q14</f>
        <v>0</v>
      </c>
      <c r="M40" s="428">
        <f>I40+J40-K40-L40</f>
        <v>3.6007118999999994</v>
      </c>
      <c r="N40" s="428">
        <f>M40</f>
        <v>3.6007118999999994</v>
      </c>
      <c r="O40" s="451">
        <f>'F5'!O40+'F5.1 (N)'!T14</f>
        <v>0</v>
      </c>
      <c r="P40" s="451">
        <f>'F5'!P40+'F5.1 (N)'!U14</f>
        <v>0</v>
      </c>
      <c r="Q40" s="451">
        <f>'F5'!Q40+'F5.1 (N)'!V14</f>
        <v>0</v>
      </c>
      <c r="R40" s="428">
        <f>N40+O40-P40-Q40</f>
        <v>3.6007118999999994</v>
      </c>
      <c r="S40" s="428">
        <f>R40</f>
        <v>3.6007118999999994</v>
      </c>
      <c r="T40" s="451">
        <f>'F5'!T40+'F5.1 (N)'!Y14</f>
        <v>0</v>
      </c>
      <c r="U40" s="451">
        <f>'F5'!U40+'F5.1 (N)'!Z14</f>
        <v>0</v>
      </c>
      <c r="V40" s="451">
        <f>'F5'!V40+'F5.1 (N)'!AA14</f>
        <v>0</v>
      </c>
      <c r="W40" s="428">
        <f>S40+T40-U40-V40</f>
        <v>3.6007118999999994</v>
      </c>
    </row>
    <row r="41" spans="1:33" s="404" customFormat="1" x14ac:dyDescent="0.3">
      <c r="B41" s="448">
        <f>B40+1</f>
        <v>2</v>
      </c>
      <c r="C41" s="450" t="s">
        <v>846</v>
      </c>
      <c r="D41" s="428">
        <f t="shared" ref="D41:D56" si="8">W15</f>
        <v>18.54565659589041</v>
      </c>
      <c r="E41" s="451">
        <f>'F5'!E41+'F5.1 (N)'!J15</f>
        <v>0</v>
      </c>
      <c r="F41" s="451">
        <f>'F5'!F41+'F5.1 (N)'!K15</f>
        <v>0</v>
      </c>
      <c r="G41" s="451">
        <f>'F5'!G41+'F5.1 (N)'!L15</f>
        <v>0</v>
      </c>
      <c r="H41" s="428">
        <f t="shared" ref="H41:H56" si="9">D41+E41-F41-G41</f>
        <v>18.54565659589041</v>
      </c>
      <c r="I41" s="428">
        <f t="shared" ref="I41:I56" si="10">H41</f>
        <v>18.54565659589041</v>
      </c>
      <c r="J41" s="451">
        <f>'F5'!J41+'F5.1 (N)'!O15</f>
        <v>0</v>
      </c>
      <c r="K41" s="451">
        <f>'F5'!K41+'F5.1 (N)'!P15</f>
        <v>0</v>
      </c>
      <c r="L41" s="451">
        <f>'F5'!L41+'F5.1 (N)'!Q15</f>
        <v>0</v>
      </c>
      <c r="M41" s="428">
        <f t="shared" ref="M41:M56" si="11">I41+J41-K41-L41</f>
        <v>18.54565659589041</v>
      </c>
      <c r="N41" s="428">
        <f t="shared" ref="N41:N56" si="12">M41</f>
        <v>18.54565659589041</v>
      </c>
      <c r="O41" s="451">
        <f>'F5'!O41+'F5.1 (N)'!T15</f>
        <v>0</v>
      </c>
      <c r="P41" s="451">
        <f>'F5'!P41+'F5.1 (N)'!U15</f>
        <v>0</v>
      </c>
      <c r="Q41" s="451">
        <f>'F5'!Q41+'F5.1 (N)'!V15</f>
        <v>0</v>
      </c>
      <c r="R41" s="428">
        <f t="shared" ref="R41:R56" si="13">N41+O41-P41-Q41</f>
        <v>18.54565659589041</v>
      </c>
      <c r="S41" s="428">
        <f t="shared" ref="S41:S56" si="14">R41</f>
        <v>18.54565659589041</v>
      </c>
      <c r="T41" s="451">
        <f>'F5'!T41+'F5.1 (N)'!Y15</f>
        <v>0</v>
      </c>
      <c r="U41" s="451">
        <f>'F5'!U41+'F5.1 (N)'!Z15</f>
        <v>0</v>
      </c>
      <c r="V41" s="451">
        <f>'F5'!V41+'F5.1 (N)'!AA15</f>
        <v>0</v>
      </c>
      <c r="W41" s="428">
        <f t="shared" ref="W41:W56" si="15">S41+T41-U41-V41</f>
        <v>18.54565659589041</v>
      </c>
    </row>
    <row r="42" spans="1:33" s="11" customFormat="1" x14ac:dyDescent="0.3">
      <c r="A42" s="404"/>
      <c r="B42" s="448">
        <f t="shared" ref="B42:B56" si="16">B41+1</f>
        <v>3</v>
      </c>
      <c r="C42" s="450" t="s">
        <v>847</v>
      </c>
      <c r="D42" s="428">
        <f t="shared" si="8"/>
        <v>0</v>
      </c>
      <c r="E42" s="451">
        <f>'F5'!E42+'F5.1 (N)'!J16</f>
        <v>0</v>
      </c>
      <c r="F42" s="451">
        <f>'F5'!F42+'F5.1 (N)'!K16</f>
        <v>0</v>
      </c>
      <c r="G42" s="451">
        <f>'F5'!G42+'F5.1 (N)'!L16</f>
        <v>0</v>
      </c>
      <c r="H42" s="428">
        <f t="shared" si="9"/>
        <v>0</v>
      </c>
      <c r="I42" s="428">
        <f t="shared" si="10"/>
        <v>0</v>
      </c>
      <c r="J42" s="451">
        <f>'F5'!J42+'F5.1 (N)'!O16</f>
        <v>0</v>
      </c>
      <c r="K42" s="451">
        <f>'F5'!K42+'F5.1 (N)'!P16</f>
        <v>0</v>
      </c>
      <c r="L42" s="451">
        <f>'F5'!L42+'F5.1 (N)'!Q16</f>
        <v>0</v>
      </c>
      <c r="M42" s="428">
        <f t="shared" si="11"/>
        <v>0</v>
      </c>
      <c r="N42" s="428">
        <f t="shared" si="12"/>
        <v>0</v>
      </c>
      <c r="O42" s="451">
        <f>'F5'!O42+'F5.1 (N)'!T16</f>
        <v>0</v>
      </c>
      <c r="P42" s="451">
        <f>'F5'!P42+'F5.1 (N)'!U16</f>
        <v>0</v>
      </c>
      <c r="Q42" s="451">
        <f>'F5'!Q42+'F5.1 (N)'!V16</f>
        <v>0</v>
      </c>
      <c r="R42" s="428">
        <f t="shared" si="13"/>
        <v>0</v>
      </c>
      <c r="S42" s="428">
        <f t="shared" si="14"/>
        <v>0</v>
      </c>
      <c r="T42" s="451">
        <f>'F5'!T42+'F5.1 (N)'!Y16</f>
        <v>0</v>
      </c>
      <c r="U42" s="451">
        <f>'F5'!U42+'F5.1 (N)'!Z16</f>
        <v>0</v>
      </c>
      <c r="V42" s="451">
        <f>'F5'!V42+'F5.1 (N)'!AA16</f>
        <v>0</v>
      </c>
      <c r="W42" s="428">
        <f t="shared" si="15"/>
        <v>0</v>
      </c>
    </row>
    <row r="43" spans="1:33" s="11" customFormat="1" x14ac:dyDescent="0.3">
      <c r="A43" s="404"/>
      <c r="B43" s="448">
        <f t="shared" si="16"/>
        <v>4</v>
      </c>
      <c r="C43" s="450" t="s">
        <v>848</v>
      </c>
      <c r="D43" s="428">
        <f t="shared" si="8"/>
        <v>68.092653000000013</v>
      </c>
      <c r="E43" s="451">
        <f>'F5'!E43+'F5.1 (N)'!J17</f>
        <v>0</v>
      </c>
      <c r="F43" s="451">
        <f>'F5'!F43+'F5.1 (N)'!K17</f>
        <v>0</v>
      </c>
      <c r="G43" s="451">
        <f>'F5'!G43+'F5.1 (N)'!L17</f>
        <v>0</v>
      </c>
      <c r="H43" s="428">
        <f t="shared" si="9"/>
        <v>68.092653000000013</v>
      </c>
      <c r="I43" s="428">
        <f t="shared" si="10"/>
        <v>68.092653000000013</v>
      </c>
      <c r="J43" s="451">
        <f>'F5'!J43+'F5.1 (N)'!O17</f>
        <v>0</v>
      </c>
      <c r="K43" s="451">
        <f>'F5'!K43+'F5.1 (N)'!P17</f>
        <v>0</v>
      </c>
      <c r="L43" s="451">
        <f>'F5'!L43+'F5.1 (N)'!Q17</f>
        <v>0</v>
      </c>
      <c r="M43" s="428">
        <f t="shared" si="11"/>
        <v>68.092653000000013</v>
      </c>
      <c r="N43" s="428">
        <f t="shared" si="12"/>
        <v>68.092653000000013</v>
      </c>
      <c r="O43" s="451">
        <f>'F5'!O43+'F5.1 (N)'!T17</f>
        <v>0</v>
      </c>
      <c r="P43" s="451">
        <f>'F5'!P43+'F5.1 (N)'!U17</f>
        <v>0</v>
      </c>
      <c r="Q43" s="451">
        <f>'F5'!Q43+'F5.1 (N)'!V17</f>
        <v>0</v>
      </c>
      <c r="R43" s="428">
        <f t="shared" si="13"/>
        <v>68.092653000000013</v>
      </c>
      <c r="S43" s="428">
        <f t="shared" si="14"/>
        <v>68.092653000000013</v>
      </c>
      <c r="T43" s="451">
        <f>'F5'!T43+'F5.1 (N)'!Y17</f>
        <v>0</v>
      </c>
      <c r="U43" s="451">
        <f>'F5'!U43+'F5.1 (N)'!Z17</f>
        <v>0</v>
      </c>
      <c r="V43" s="451">
        <f>'F5'!V43+'F5.1 (N)'!AA17</f>
        <v>0</v>
      </c>
      <c r="W43" s="428">
        <f t="shared" si="15"/>
        <v>68.092653000000013</v>
      </c>
    </row>
    <row r="44" spans="1:33" s="11" customFormat="1" x14ac:dyDescent="0.3">
      <c r="A44" s="404"/>
      <c r="B44" s="448">
        <f t="shared" si="16"/>
        <v>5</v>
      </c>
      <c r="C44" s="450" t="s">
        <v>849</v>
      </c>
      <c r="D44" s="428">
        <f t="shared" si="8"/>
        <v>84.548094000000006</v>
      </c>
      <c r="E44" s="451">
        <f>'F5'!E44+'F5.1 (N)'!J18</f>
        <v>99.5</v>
      </c>
      <c r="F44" s="451">
        <f>'F5'!F44+'F5.1 (N)'!K18</f>
        <v>0</v>
      </c>
      <c r="G44" s="451">
        <f>'F5'!G44+'F5.1 (N)'!L18</f>
        <v>0</v>
      </c>
      <c r="H44" s="428">
        <f t="shared" si="9"/>
        <v>184.04809399999999</v>
      </c>
      <c r="I44" s="428">
        <f t="shared" si="10"/>
        <v>184.04809399999999</v>
      </c>
      <c r="J44" s="451">
        <f>'F5'!J44+'F5.1 (N)'!O18</f>
        <v>0</v>
      </c>
      <c r="K44" s="451">
        <f>'F5'!K44+'F5.1 (N)'!P18</f>
        <v>0</v>
      </c>
      <c r="L44" s="451">
        <f>'F5'!L44+'F5.1 (N)'!Q18</f>
        <v>0</v>
      </c>
      <c r="M44" s="428">
        <f t="shared" si="11"/>
        <v>184.04809399999999</v>
      </c>
      <c r="N44" s="428">
        <f t="shared" si="12"/>
        <v>184.04809399999999</v>
      </c>
      <c r="O44" s="451">
        <f>'F5'!O44+'F5.1 (N)'!T18</f>
        <v>0</v>
      </c>
      <c r="P44" s="451">
        <f>'F5'!P44+'F5.1 (N)'!U18</f>
        <v>0</v>
      </c>
      <c r="Q44" s="451">
        <f>'F5'!Q44+'F5.1 (N)'!V18</f>
        <v>0</v>
      </c>
      <c r="R44" s="428">
        <f t="shared" si="13"/>
        <v>184.04809399999999</v>
      </c>
      <c r="S44" s="428">
        <f t="shared" si="14"/>
        <v>184.04809399999999</v>
      </c>
      <c r="T44" s="451">
        <f>'F5'!T44+'F5.1 (N)'!Y18</f>
        <v>0</v>
      </c>
      <c r="U44" s="451">
        <f>'F5'!U44+'F5.1 (N)'!Z18</f>
        <v>0</v>
      </c>
      <c r="V44" s="451">
        <f>'F5'!V44+'F5.1 (N)'!AA18</f>
        <v>0</v>
      </c>
      <c r="W44" s="428">
        <f t="shared" si="15"/>
        <v>184.04809399999999</v>
      </c>
    </row>
    <row r="45" spans="1:33" s="11" customFormat="1" x14ac:dyDescent="0.3">
      <c r="A45" s="404"/>
      <c r="B45" s="448">
        <f t="shared" si="16"/>
        <v>6</v>
      </c>
      <c r="C45" s="450" t="s">
        <v>256</v>
      </c>
      <c r="D45" s="428">
        <f t="shared" si="8"/>
        <v>290.00188582518444</v>
      </c>
      <c r="E45" s="451">
        <f>'F5'!E45+'F5.1 (N)'!J19</f>
        <v>0</v>
      </c>
      <c r="F45" s="451">
        <f>'F5'!F45+'F5.1 (N)'!K19</f>
        <v>0</v>
      </c>
      <c r="G45" s="451">
        <f>'F5'!G45+'F5.1 (N)'!L19</f>
        <v>0</v>
      </c>
      <c r="H45" s="428">
        <f t="shared" si="9"/>
        <v>290.00188582518444</v>
      </c>
      <c r="I45" s="428">
        <f t="shared" si="10"/>
        <v>290.00188582518444</v>
      </c>
      <c r="J45" s="451">
        <f>'F5'!J45+'F5.1 (N)'!O19</f>
        <v>0</v>
      </c>
      <c r="K45" s="451">
        <f>'F5'!K45+'F5.1 (N)'!P19</f>
        <v>0</v>
      </c>
      <c r="L45" s="451">
        <f>'F5'!L45+'F5.1 (N)'!Q19</f>
        <v>0</v>
      </c>
      <c r="M45" s="428">
        <f t="shared" si="11"/>
        <v>290.00188582518444</v>
      </c>
      <c r="N45" s="428">
        <f t="shared" si="12"/>
        <v>290.00188582518444</v>
      </c>
      <c r="O45" s="451">
        <f>'F5'!O45+'F5.1 (N)'!T19</f>
        <v>0</v>
      </c>
      <c r="P45" s="451">
        <f>'F5'!P45+'F5.1 (N)'!U19</f>
        <v>0</v>
      </c>
      <c r="Q45" s="451">
        <f>'F5'!Q45+'F5.1 (N)'!V19</f>
        <v>0</v>
      </c>
      <c r="R45" s="428">
        <f t="shared" si="13"/>
        <v>290.00188582518444</v>
      </c>
      <c r="S45" s="428">
        <f t="shared" si="14"/>
        <v>290.00188582518444</v>
      </c>
      <c r="T45" s="451">
        <f>'F5'!T45+'F5.1 (N)'!Y19</f>
        <v>0</v>
      </c>
      <c r="U45" s="451">
        <f>'F5'!U45+'F5.1 (N)'!Z19</f>
        <v>0</v>
      </c>
      <c r="V45" s="451">
        <f>'F5'!V45+'F5.1 (N)'!AA19</f>
        <v>0</v>
      </c>
      <c r="W45" s="428">
        <f t="shared" si="15"/>
        <v>290.00188582518444</v>
      </c>
    </row>
    <row r="46" spans="1:33" s="11" customFormat="1" x14ac:dyDescent="0.3">
      <c r="A46" s="404"/>
      <c r="B46" s="448">
        <f t="shared" si="16"/>
        <v>7</v>
      </c>
      <c r="C46" s="450" t="s">
        <v>850</v>
      </c>
      <c r="D46" s="428">
        <f t="shared" si="8"/>
        <v>2.5012226291655084</v>
      </c>
      <c r="E46" s="451">
        <f>'F5'!E46+'F5.1 (N)'!J20</f>
        <v>0</v>
      </c>
      <c r="F46" s="451">
        <f>'F5'!F46+'F5.1 (N)'!K20</f>
        <v>0</v>
      </c>
      <c r="G46" s="451">
        <f>'F5'!G46+'F5.1 (N)'!L20</f>
        <v>0</v>
      </c>
      <c r="H46" s="428">
        <f t="shared" si="9"/>
        <v>2.5012226291655084</v>
      </c>
      <c r="I46" s="428">
        <f t="shared" si="10"/>
        <v>2.5012226291655084</v>
      </c>
      <c r="J46" s="451">
        <f>'F5'!J46+'F5.1 (N)'!O20</f>
        <v>0</v>
      </c>
      <c r="K46" s="451">
        <f>'F5'!K46+'F5.1 (N)'!P20</f>
        <v>0</v>
      </c>
      <c r="L46" s="451">
        <f>'F5'!L46+'F5.1 (N)'!Q20</f>
        <v>0</v>
      </c>
      <c r="M46" s="428">
        <f t="shared" si="11"/>
        <v>2.5012226291655084</v>
      </c>
      <c r="N46" s="428">
        <f t="shared" si="12"/>
        <v>2.5012226291655084</v>
      </c>
      <c r="O46" s="451">
        <f>'F5'!O46+'F5.1 (N)'!T20</f>
        <v>0</v>
      </c>
      <c r="P46" s="451">
        <f>'F5'!P46+'F5.1 (N)'!U20</f>
        <v>0</v>
      </c>
      <c r="Q46" s="451">
        <f>'F5'!Q46+'F5.1 (N)'!V20</f>
        <v>0</v>
      </c>
      <c r="R46" s="428">
        <f t="shared" si="13"/>
        <v>2.5012226291655084</v>
      </c>
      <c r="S46" s="428">
        <f t="shared" si="14"/>
        <v>2.5012226291655084</v>
      </c>
      <c r="T46" s="451">
        <f>'F5'!T46+'F5.1 (N)'!Y20</f>
        <v>0</v>
      </c>
      <c r="U46" s="451">
        <f>'F5'!U46+'F5.1 (N)'!Z20</f>
        <v>0</v>
      </c>
      <c r="V46" s="451">
        <f>'F5'!V46+'F5.1 (N)'!AA20</f>
        <v>0</v>
      </c>
      <c r="W46" s="428">
        <f t="shared" si="15"/>
        <v>2.5012226291655084</v>
      </c>
    </row>
    <row r="47" spans="1:33" s="11" customFormat="1" x14ac:dyDescent="0.3">
      <c r="A47" s="404"/>
      <c r="B47" s="448">
        <f t="shared" si="16"/>
        <v>8</v>
      </c>
      <c r="C47" s="450" t="s">
        <v>851</v>
      </c>
      <c r="D47" s="428">
        <f t="shared" si="8"/>
        <v>6.1432788998907202E-2</v>
      </c>
      <c r="E47" s="451">
        <f>'F5'!E47+'F5.1 (N)'!J21</f>
        <v>0</v>
      </c>
      <c r="F47" s="451">
        <f>'F5'!F47+'F5.1 (N)'!K21</f>
        <v>0</v>
      </c>
      <c r="G47" s="451">
        <f>'F5'!G47+'F5.1 (N)'!L21</f>
        <v>0</v>
      </c>
      <c r="H47" s="428">
        <f t="shared" si="9"/>
        <v>6.1432788998907202E-2</v>
      </c>
      <c r="I47" s="428">
        <f t="shared" si="10"/>
        <v>6.1432788998907202E-2</v>
      </c>
      <c r="J47" s="451">
        <f>'F5'!J47+'F5.1 (N)'!O21</f>
        <v>0</v>
      </c>
      <c r="K47" s="451">
        <f>'F5'!K47+'F5.1 (N)'!P21</f>
        <v>0</v>
      </c>
      <c r="L47" s="451">
        <f>'F5'!L47+'F5.1 (N)'!Q21</f>
        <v>0</v>
      </c>
      <c r="M47" s="428">
        <f t="shared" si="11"/>
        <v>6.1432788998907202E-2</v>
      </c>
      <c r="N47" s="428">
        <f t="shared" si="12"/>
        <v>6.1432788998907202E-2</v>
      </c>
      <c r="O47" s="451">
        <f>'F5'!O47+'F5.1 (N)'!T21</f>
        <v>0</v>
      </c>
      <c r="P47" s="451">
        <f>'F5'!P47+'F5.1 (N)'!U21</f>
        <v>0</v>
      </c>
      <c r="Q47" s="451">
        <f>'F5'!Q47+'F5.1 (N)'!V21</f>
        <v>0</v>
      </c>
      <c r="R47" s="428">
        <f t="shared" si="13"/>
        <v>6.1432788998907202E-2</v>
      </c>
      <c r="S47" s="428">
        <f t="shared" si="14"/>
        <v>6.1432788998907202E-2</v>
      </c>
      <c r="T47" s="451">
        <f>'F5'!T47+'F5.1 (N)'!Y21</f>
        <v>0</v>
      </c>
      <c r="U47" s="451">
        <f>'F5'!U47+'F5.1 (N)'!Z21</f>
        <v>0</v>
      </c>
      <c r="V47" s="451">
        <f>'F5'!V47+'F5.1 (N)'!AA21</f>
        <v>0</v>
      </c>
      <c r="W47" s="428">
        <f t="shared" si="15"/>
        <v>6.1432788998907202E-2</v>
      </c>
    </row>
    <row r="48" spans="1:33" s="11" customFormat="1" x14ac:dyDescent="0.3">
      <c r="A48" s="404"/>
      <c r="B48" s="448">
        <f t="shared" si="16"/>
        <v>9</v>
      </c>
      <c r="C48" s="450" t="s">
        <v>852</v>
      </c>
      <c r="D48" s="428">
        <f t="shared" si="8"/>
        <v>0</v>
      </c>
      <c r="E48" s="451">
        <f>'F5'!E48+'F5.1 (N)'!J22</f>
        <v>0</v>
      </c>
      <c r="F48" s="451">
        <f>'F5'!F48+'F5.1 (N)'!K22</f>
        <v>0</v>
      </c>
      <c r="G48" s="451">
        <f>'F5'!G48+'F5.1 (N)'!L22</f>
        <v>0</v>
      </c>
      <c r="H48" s="428">
        <f t="shared" si="9"/>
        <v>0</v>
      </c>
      <c r="I48" s="428">
        <f t="shared" si="10"/>
        <v>0</v>
      </c>
      <c r="J48" s="451">
        <f>'F5'!J48+'F5.1 (N)'!O22</f>
        <v>0</v>
      </c>
      <c r="K48" s="451">
        <f>'F5'!K48+'F5.1 (N)'!P22</f>
        <v>0</v>
      </c>
      <c r="L48" s="451">
        <f>'F5'!L48+'F5.1 (N)'!Q22</f>
        <v>0</v>
      </c>
      <c r="M48" s="428">
        <f t="shared" si="11"/>
        <v>0</v>
      </c>
      <c r="N48" s="428">
        <f t="shared" si="12"/>
        <v>0</v>
      </c>
      <c r="O48" s="451">
        <f>'F5'!O48+'F5.1 (N)'!T22</f>
        <v>0</v>
      </c>
      <c r="P48" s="451">
        <f>'F5'!P48+'F5.1 (N)'!U22</f>
        <v>0</v>
      </c>
      <c r="Q48" s="451">
        <f>'F5'!Q48+'F5.1 (N)'!V22</f>
        <v>0</v>
      </c>
      <c r="R48" s="428">
        <f t="shared" si="13"/>
        <v>0</v>
      </c>
      <c r="S48" s="428">
        <f t="shared" si="14"/>
        <v>0</v>
      </c>
      <c r="T48" s="451">
        <f>'F5'!T48+'F5.1 (N)'!Y22</f>
        <v>0</v>
      </c>
      <c r="U48" s="451">
        <f>'F5'!U48+'F5.1 (N)'!Z22</f>
        <v>0</v>
      </c>
      <c r="V48" s="451">
        <f>'F5'!V48+'F5.1 (N)'!AA22</f>
        <v>0</v>
      </c>
      <c r="W48" s="428">
        <f t="shared" si="15"/>
        <v>0</v>
      </c>
    </row>
    <row r="49" spans="1:23" s="11" customFormat="1" x14ac:dyDescent="0.3">
      <c r="A49" s="404"/>
      <c r="B49" s="448">
        <f t="shared" si="16"/>
        <v>10</v>
      </c>
      <c r="C49" s="450" t="s">
        <v>259</v>
      </c>
      <c r="D49" s="428">
        <f t="shared" si="8"/>
        <v>1.3493630999999997</v>
      </c>
      <c r="E49" s="451">
        <f>'F5'!E49+'F5.1 (N)'!J23</f>
        <v>0</v>
      </c>
      <c r="F49" s="451">
        <f>'F5'!F49+'F5.1 (N)'!K23</f>
        <v>0</v>
      </c>
      <c r="G49" s="451">
        <f>'F5'!G49+'F5.1 (N)'!L23</f>
        <v>0</v>
      </c>
      <c r="H49" s="428">
        <f t="shared" si="9"/>
        <v>1.3493630999999997</v>
      </c>
      <c r="I49" s="428">
        <f t="shared" si="10"/>
        <v>1.3493630999999997</v>
      </c>
      <c r="J49" s="451">
        <f>'F5'!J49+'F5.1 (N)'!O23</f>
        <v>0</v>
      </c>
      <c r="K49" s="451">
        <f>'F5'!K49+'F5.1 (N)'!P23</f>
        <v>0</v>
      </c>
      <c r="L49" s="451">
        <f>'F5'!L49+'F5.1 (N)'!Q23</f>
        <v>0</v>
      </c>
      <c r="M49" s="428">
        <f t="shared" si="11"/>
        <v>1.3493630999999997</v>
      </c>
      <c r="N49" s="428">
        <f t="shared" si="12"/>
        <v>1.3493630999999997</v>
      </c>
      <c r="O49" s="451">
        <f>'F5'!O49+'F5.1 (N)'!T23</f>
        <v>0</v>
      </c>
      <c r="P49" s="451">
        <f>'F5'!P49+'F5.1 (N)'!U23</f>
        <v>0</v>
      </c>
      <c r="Q49" s="451">
        <f>'F5'!Q49+'F5.1 (N)'!V23</f>
        <v>0</v>
      </c>
      <c r="R49" s="428">
        <f t="shared" si="13"/>
        <v>1.3493630999999997</v>
      </c>
      <c r="S49" s="428">
        <f t="shared" si="14"/>
        <v>1.3493630999999997</v>
      </c>
      <c r="T49" s="451">
        <f>'F5'!T49+'F5.1 (N)'!Y23</f>
        <v>0</v>
      </c>
      <c r="U49" s="451">
        <f>'F5'!U49+'F5.1 (N)'!Z23</f>
        <v>0</v>
      </c>
      <c r="V49" s="451">
        <f>'F5'!V49+'F5.1 (N)'!AA23</f>
        <v>0</v>
      </c>
      <c r="W49" s="428">
        <f t="shared" si="15"/>
        <v>1.3493630999999997</v>
      </c>
    </row>
    <row r="50" spans="1:23" s="11" customFormat="1" x14ac:dyDescent="0.3">
      <c r="A50" s="404"/>
      <c r="B50" s="448">
        <f t="shared" si="16"/>
        <v>11</v>
      </c>
      <c r="C50" s="450" t="s">
        <v>260</v>
      </c>
      <c r="D50" s="428">
        <f t="shared" si="8"/>
        <v>0.98369274023976738</v>
      </c>
      <c r="E50" s="451">
        <f>'F5'!E50+'F5.1 (N)'!J24</f>
        <v>0</v>
      </c>
      <c r="F50" s="451">
        <f>'F5'!F50+'F5.1 (N)'!K24</f>
        <v>0</v>
      </c>
      <c r="G50" s="451">
        <f>'F5'!G50+'F5.1 (N)'!L24</f>
        <v>0</v>
      </c>
      <c r="H50" s="428">
        <f t="shared" si="9"/>
        <v>0.98369274023976738</v>
      </c>
      <c r="I50" s="428">
        <f t="shared" si="10"/>
        <v>0.98369274023976738</v>
      </c>
      <c r="J50" s="451">
        <f>'F5'!J50+'F5.1 (N)'!O24</f>
        <v>0</v>
      </c>
      <c r="K50" s="451">
        <f>'F5'!K50+'F5.1 (N)'!P24</f>
        <v>0</v>
      </c>
      <c r="L50" s="451">
        <f>'F5'!L50+'F5.1 (N)'!Q24</f>
        <v>0</v>
      </c>
      <c r="M50" s="428">
        <f t="shared" si="11"/>
        <v>0.98369274023976738</v>
      </c>
      <c r="N50" s="428">
        <f t="shared" si="12"/>
        <v>0.98369274023976738</v>
      </c>
      <c r="O50" s="451">
        <f>'F5'!O50+'F5.1 (N)'!T24</f>
        <v>0</v>
      </c>
      <c r="P50" s="451">
        <f>'F5'!P50+'F5.1 (N)'!U24</f>
        <v>0</v>
      </c>
      <c r="Q50" s="451">
        <f>'F5'!Q50+'F5.1 (N)'!V24</f>
        <v>0</v>
      </c>
      <c r="R50" s="428">
        <f t="shared" si="13"/>
        <v>0.98369274023976738</v>
      </c>
      <c r="S50" s="428">
        <f t="shared" si="14"/>
        <v>0.98369274023976738</v>
      </c>
      <c r="T50" s="451">
        <f>'F5'!T50+'F5.1 (N)'!Y24</f>
        <v>0</v>
      </c>
      <c r="U50" s="451">
        <f>'F5'!U50+'F5.1 (N)'!Z24</f>
        <v>0</v>
      </c>
      <c r="V50" s="451">
        <f>'F5'!V50+'F5.1 (N)'!AA24</f>
        <v>0</v>
      </c>
      <c r="W50" s="428">
        <f t="shared" si="15"/>
        <v>0.98369274023976738</v>
      </c>
    </row>
    <row r="51" spans="1:23" s="2" customFormat="1" x14ac:dyDescent="0.3">
      <c r="A51" s="404"/>
      <c r="B51" s="448">
        <f t="shared" si="16"/>
        <v>12</v>
      </c>
      <c r="C51" s="450" t="s">
        <v>261</v>
      </c>
      <c r="D51" s="428">
        <f t="shared" si="8"/>
        <v>2.1976664630416263</v>
      </c>
      <c r="E51" s="451">
        <f>'F5'!E51+'F5.1 (N)'!J25</f>
        <v>0</v>
      </c>
      <c r="F51" s="451">
        <f>'F5'!F51+'F5.1 (N)'!K25</f>
        <v>0</v>
      </c>
      <c r="G51" s="451">
        <f>'F5'!G51+'F5.1 (N)'!L25</f>
        <v>0</v>
      </c>
      <c r="H51" s="428">
        <f t="shared" si="9"/>
        <v>2.1976664630416263</v>
      </c>
      <c r="I51" s="428">
        <f t="shared" si="10"/>
        <v>2.1976664630416263</v>
      </c>
      <c r="J51" s="451">
        <f>'F5'!J51+'F5.1 (N)'!O25</f>
        <v>0</v>
      </c>
      <c r="K51" s="451">
        <f>'F5'!K51+'F5.1 (N)'!P25</f>
        <v>0</v>
      </c>
      <c r="L51" s="451">
        <f>'F5'!L51+'F5.1 (N)'!Q25</f>
        <v>0</v>
      </c>
      <c r="M51" s="428">
        <f t="shared" si="11"/>
        <v>2.1976664630416263</v>
      </c>
      <c r="N51" s="428">
        <f t="shared" si="12"/>
        <v>2.1976664630416263</v>
      </c>
      <c r="O51" s="451">
        <f>'F5'!O51+'F5.1 (N)'!T25</f>
        <v>0</v>
      </c>
      <c r="P51" s="451">
        <f>'F5'!P51+'F5.1 (N)'!U25</f>
        <v>0</v>
      </c>
      <c r="Q51" s="451">
        <f>'F5'!Q51+'F5.1 (N)'!V25</f>
        <v>0</v>
      </c>
      <c r="R51" s="428">
        <f t="shared" si="13"/>
        <v>2.1976664630416263</v>
      </c>
      <c r="S51" s="428">
        <f t="shared" si="14"/>
        <v>2.1976664630416263</v>
      </c>
      <c r="T51" s="451">
        <f>'F5'!T51+'F5.1 (N)'!Y25</f>
        <v>0</v>
      </c>
      <c r="U51" s="451">
        <f>'F5'!U51+'F5.1 (N)'!Z25</f>
        <v>0</v>
      </c>
      <c r="V51" s="451">
        <f>'F5'!V51+'F5.1 (N)'!AA25</f>
        <v>0</v>
      </c>
      <c r="W51" s="428">
        <f t="shared" si="15"/>
        <v>2.1976664630416263</v>
      </c>
    </row>
    <row r="52" spans="1:23" s="2" customFormat="1" x14ac:dyDescent="0.3">
      <c r="A52" s="404"/>
      <c r="B52" s="448">
        <f t="shared" si="16"/>
        <v>13</v>
      </c>
      <c r="C52" s="450" t="s">
        <v>899</v>
      </c>
      <c r="D52" s="428">
        <f t="shared" si="8"/>
        <v>0</v>
      </c>
      <c r="E52" s="451">
        <f>'F5'!E52+'F5.1 (N)'!J26</f>
        <v>0</v>
      </c>
      <c r="F52" s="451">
        <f>'F5'!F52+'F5.1 (N)'!K26</f>
        <v>0</v>
      </c>
      <c r="G52" s="451">
        <f>'F5'!G52+'F5.1 (N)'!L26</f>
        <v>0</v>
      </c>
      <c r="H52" s="428">
        <f t="shared" si="9"/>
        <v>0</v>
      </c>
      <c r="I52" s="428">
        <f t="shared" si="10"/>
        <v>0</v>
      </c>
      <c r="J52" s="451">
        <f>'F5'!J52+'F5.1 (N)'!O26</f>
        <v>0</v>
      </c>
      <c r="K52" s="451">
        <f>'F5'!K52+'F5.1 (N)'!P26</f>
        <v>0</v>
      </c>
      <c r="L52" s="451">
        <f>'F5'!L52+'F5.1 (N)'!Q26</f>
        <v>0</v>
      </c>
      <c r="M52" s="428">
        <f t="shared" si="11"/>
        <v>0</v>
      </c>
      <c r="N52" s="428">
        <f t="shared" si="12"/>
        <v>0</v>
      </c>
      <c r="O52" s="451">
        <f>'F5'!O52+'F5.1 (N)'!T26</f>
        <v>0</v>
      </c>
      <c r="P52" s="451">
        <f>'F5'!P52+'F5.1 (N)'!U26</f>
        <v>0</v>
      </c>
      <c r="Q52" s="451">
        <f>'F5'!Q52+'F5.1 (N)'!V26</f>
        <v>0</v>
      </c>
      <c r="R52" s="428">
        <f t="shared" si="13"/>
        <v>0</v>
      </c>
      <c r="S52" s="428">
        <f t="shared" si="14"/>
        <v>0</v>
      </c>
      <c r="T52" s="451">
        <f>'F5'!T52+'F5.1 (N)'!Y26</f>
        <v>0</v>
      </c>
      <c r="U52" s="451">
        <f>'F5'!U52+'F5.1 (N)'!Z26</f>
        <v>0</v>
      </c>
      <c r="V52" s="451">
        <f>'F5'!V52+'F5.1 (N)'!AA26</f>
        <v>0</v>
      </c>
      <c r="W52" s="428">
        <f t="shared" si="15"/>
        <v>0</v>
      </c>
    </row>
    <row r="53" spans="1:23" s="2" customFormat="1" x14ac:dyDescent="0.3">
      <c r="A53" s="404"/>
      <c r="B53" s="448">
        <f t="shared" si="16"/>
        <v>14</v>
      </c>
      <c r="C53" s="450" t="s">
        <v>900</v>
      </c>
      <c r="D53" s="428">
        <f t="shared" si="8"/>
        <v>-1.4887786000000012E-2</v>
      </c>
      <c r="E53" s="451">
        <f>'F5'!E53+'F5.1 (N)'!J27</f>
        <v>0</v>
      </c>
      <c r="F53" s="451">
        <f>'F5'!F53+'F5.1 (N)'!K27</f>
        <v>0</v>
      </c>
      <c r="G53" s="451">
        <f>'F5'!G53+'F5.1 (N)'!L27</f>
        <v>0</v>
      </c>
      <c r="H53" s="428">
        <f t="shared" si="9"/>
        <v>-1.4887786000000012E-2</v>
      </c>
      <c r="I53" s="428">
        <f t="shared" si="10"/>
        <v>-1.4887786000000012E-2</v>
      </c>
      <c r="J53" s="451">
        <f>'F5'!J53+'F5.1 (N)'!O27</f>
        <v>0</v>
      </c>
      <c r="K53" s="451">
        <f>'F5'!K53+'F5.1 (N)'!P27</f>
        <v>0</v>
      </c>
      <c r="L53" s="451">
        <f>'F5'!L53+'F5.1 (N)'!Q27</f>
        <v>0</v>
      </c>
      <c r="M53" s="428">
        <f t="shared" si="11"/>
        <v>-1.4887786000000012E-2</v>
      </c>
      <c r="N53" s="428">
        <f t="shared" si="12"/>
        <v>-1.4887786000000012E-2</v>
      </c>
      <c r="O53" s="451">
        <f>'F5'!O53+'F5.1 (N)'!T27</f>
        <v>0</v>
      </c>
      <c r="P53" s="451">
        <f>'F5'!P53+'F5.1 (N)'!U27</f>
        <v>0</v>
      </c>
      <c r="Q53" s="451">
        <f>'F5'!Q53+'F5.1 (N)'!V27</f>
        <v>0</v>
      </c>
      <c r="R53" s="428">
        <f t="shared" si="13"/>
        <v>-1.4887786000000012E-2</v>
      </c>
      <c r="S53" s="428">
        <f t="shared" si="14"/>
        <v>-1.4887786000000012E-2</v>
      </c>
      <c r="T53" s="451">
        <f>'F5'!T53+'F5.1 (N)'!Y27</f>
        <v>0</v>
      </c>
      <c r="U53" s="451">
        <f>'F5'!U53+'F5.1 (N)'!Z27</f>
        <v>0</v>
      </c>
      <c r="V53" s="451">
        <f>'F5'!V53+'F5.1 (N)'!AA27</f>
        <v>0</v>
      </c>
      <c r="W53" s="428">
        <f t="shared" si="15"/>
        <v>-1.4887786000000012E-2</v>
      </c>
    </row>
    <row r="54" spans="1:23" s="2" customFormat="1" x14ac:dyDescent="0.3">
      <c r="A54" s="404"/>
      <c r="B54" s="448">
        <f t="shared" si="16"/>
        <v>15</v>
      </c>
      <c r="C54" s="450" t="s">
        <v>901</v>
      </c>
      <c r="D54" s="428">
        <f t="shared" si="8"/>
        <v>0</v>
      </c>
      <c r="E54" s="451">
        <f>'F5'!E54+'F5.1 (N)'!J28</f>
        <v>0</v>
      </c>
      <c r="F54" s="451">
        <f>'F5'!F54+'F5.1 (N)'!K28</f>
        <v>0</v>
      </c>
      <c r="G54" s="451">
        <f>'F5'!G54+'F5.1 (N)'!L28</f>
        <v>0</v>
      </c>
      <c r="H54" s="428">
        <f t="shared" si="9"/>
        <v>0</v>
      </c>
      <c r="I54" s="428">
        <f t="shared" si="10"/>
        <v>0</v>
      </c>
      <c r="J54" s="451">
        <f>'F5'!J54+'F5.1 (N)'!O28</f>
        <v>0</v>
      </c>
      <c r="K54" s="451">
        <f>'F5'!K54+'F5.1 (N)'!P28</f>
        <v>0</v>
      </c>
      <c r="L54" s="451">
        <f>'F5'!L54+'F5.1 (N)'!Q28</f>
        <v>0</v>
      </c>
      <c r="M54" s="428">
        <f t="shared" si="11"/>
        <v>0</v>
      </c>
      <c r="N54" s="428">
        <f t="shared" si="12"/>
        <v>0</v>
      </c>
      <c r="O54" s="451">
        <f>'F5'!O54+'F5.1 (N)'!T28</f>
        <v>0</v>
      </c>
      <c r="P54" s="451">
        <f>'F5'!P54+'F5.1 (N)'!U28</f>
        <v>0</v>
      </c>
      <c r="Q54" s="451">
        <f>'F5'!Q54+'F5.1 (N)'!V28</f>
        <v>0</v>
      </c>
      <c r="R54" s="428">
        <f t="shared" si="13"/>
        <v>0</v>
      </c>
      <c r="S54" s="428">
        <f t="shared" si="14"/>
        <v>0</v>
      </c>
      <c r="T54" s="451">
        <f>'F5'!T54+'F5.1 (N)'!Y28</f>
        <v>0</v>
      </c>
      <c r="U54" s="451">
        <f>'F5'!U54+'F5.1 (N)'!Z28</f>
        <v>0</v>
      </c>
      <c r="V54" s="451">
        <f>'F5'!V54+'F5.1 (N)'!AA28</f>
        <v>0</v>
      </c>
      <c r="W54" s="428">
        <f t="shared" si="15"/>
        <v>0</v>
      </c>
    </row>
    <row r="55" spans="1:23" s="2" customFormat="1" x14ac:dyDescent="0.3">
      <c r="A55" s="404"/>
      <c r="B55" s="448">
        <f t="shared" si="16"/>
        <v>16</v>
      </c>
      <c r="C55" s="450" t="s">
        <v>853</v>
      </c>
      <c r="D55" s="428">
        <f t="shared" si="8"/>
        <v>0</v>
      </c>
      <c r="E55" s="451">
        <f>'F5'!E55+'F5.1 (N)'!J29</f>
        <v>0</v>
      </c>
      <c r="F55" s="451">
        <f>'F5'!F55+'F5.1 (N)'!K29</f>
        <v>0</v>
      </c>
      <c r="G55" s="451">
        <f>'F5'!G55+'F5.1 (N)'!L29</f>
        <v>0</v>
      </c>
      <c r="H55" s="428">
        <f t="shared" si="9"/>
        <v>0</v>
      </c>
      <c r="I55" s="428">
        <f t="shared" si="10"/>
        <v>0</v>
      </c>
      <c r="J55" s="451">
        <f>'F5'!J55+'F5.1 (N)'!O29</f>
        <v>0</v>
      </c>
      <c r="K55" s="451">
        <f>'F5'!K55+'F5.1 (N)'!P29</f>
        <v>0</v>
      </c>
      <c r="L55" s="451">
        <f>'F5'!L55+'F5.1 (N)'!Q29</f>
        <v>0</v>
      </c>
      <c r="M55" s="428">
        <f t="shared" si="11"/>
        <v>0</v>
      </c>
      <c r="N55" s="428">
        <f t="shared" si="12"/>
        <v>0</v>
      </c>
      <c r="O55" s="451">
        <f>'F5'!O55+'F5.1 (N)'!T29</f>
        <v>0</v>
      </c>
      <c r="P55" s="451">
        <f>'F5'!P55+'F5.1 (N)'!U29</f>
        <v>0</v>
      </c>
      <c r="Q55" s="451">
        <f>'F5'!Q55+'F5.1 (N)'!V29</f>
        <v>0</v>
      </c>
      <c r="R55" s="428">
        <f t="shared" si="13"/>
        <v>0</v>
      </c>
      <c r="S55" s="428">
        <f t="shared" si="14"/>
        <v>0</v>
      </c>
      <c r="T55" s="451">
        <f>'F5'!T55+'F5.1 (N)'!Y29</f>
        <v>0</v>
      </c>
      <c r="U55" s="451">
        <f>'F5'!U55+'F5.1 (N)'!Z29</f>
        <v>0</v>
      </c>
      <c r="V55" s="451">
        <f>'F5'!V55+'F5.1 (N)'!AA29</f>
        <v>0</v>
      </c>
      <c r="W55" s="428">
        <f t="shared" si="15"/>
        <v>0</v>
      </c>
    </row>
    <row r="56" spans="1:23" s="2" customFormat="1" x14ac:dyDescent="0.3">
      <c r="A56" s="404"/>
      <c r="B56" s="448">
        <f t="shared" si="16"/>
        <v>17</v>
      </c>
      <c r="C56" s="450" t="s">
        <v>902</v>
      </c>
      <c r="D56" s="428">
        <f t="shared" si="8"/>
        <v>0</v>
      </c>
      <c r="E56" s="451">
        <f>'F5'!E56+'F5.1 (N)'!J30</f>
        <v>0</v>
      </c>
      <c r="F56" s="451">
        <f>'F5'!F56+'F5.1 (N)'!K30</f>
        <v>0</v>
      </c>
      <c r="G56" s="451">
        <f>'F5'!G56+'F5.1 (N)'!L30</f>
        <v>0</v>
      </c>
      <c r="H56" s="428">
        <f t="shared" si="9"/>
        <v>0</v>
      </c>
      <c r="I56" s="428">
        <f t="shared" si="10"/>
        <v>0</v>
      </c>
      <c r="J56" s="451">
        <f>'F5'!J56+'F5.1 (N)'!O30</f>
        <v>0</v>
      </c>
      <c r="K56" s="451">
        <f>'F5'!K56+'F5.1 (N)'!P30</f>
        <v>0</v>
      </c>
      <c r="L56" s="451">
        <f>'F5'!L56+'F5.1 (N)'!Q30</f>
        <v>0</v>
      </c>
      <c r="M56" s="428">
        <f t="shared" si="11"/>
        <v>0</v>
      </c>
      <c r="N56" s="428">
        <f t="shared" si="12"/>
        <v>0</v>
      </c>
      <c r="O56" s="451">
        <f>'F5'!O56+'F5.1 (N)'!T30</f>
        <v>0</v>
      </c>
      <c r="P56" s="451">
        <f>'F5'!P56+'F5.1 (N)'!U30</f>
        <v>0</v>
      </c>
      <c r="Q56" s="451">
        <f>'F5'!Q56+'F5.1 (N)'!V30</f>
        <v>0</v>
      </c>
      <c r="R56" s="428">
        <f t="shared" si="13"/>
        <v>0</v>
      </c>
      <c r="S56" s="428">
        <f t="shared" si="14"/>
        <v>0</v>
      </c>
      <c r="T56" s="451">
        <f>'F5'!T56+'F5.1 (N)'!Y30</f>
        <v>0</v>
      </c>
      <c r="U56" s="451">
        <f>'F5'!U56+'F5.1 (N)'!Z30</f>
        <v>0</v>
      </c>
      <c r="V56" s="451">
        <f>'F5'!V56+'F5.1 (N)'!AA30</f>
        <v>0</v>
      </c>
      <c r="W56" s="428">
        <f t="shared" si="15"/>
        <v>0</v>
      </c>
    </row>
    <row r="57" spans="1:23" s="1" customFormat="1" ht="16" x14ac:dyDescent="0.3">
      <c r="B57" s="78"/>
      <c r="C57" s="92" t="s">
        <v>271</v>
      </c>
      <c r="D57" s="345">
        <f>SUM(D40:D56)</f>
        <v>471.86749125652068</v>
      </c>
      <c r="E57" s="345">
        <f>SUM(E40:E56)</f>
        <v>99.5</v>
      </c>
      <c r="F57" s="345">
        <f>SUM(F40:F56)</f>
        <v>0</v>
      </c>
      <c r="G57" s="345">
        <f>SUM(G40:G56)</f>
        <v>0</v>
      </c>
      <c r="H57" s="345">
        <f>SUM(H40:H56)</f>
        <v>571.36749125652068</v>
      </c>
      <c r="I57" s="345">
        <f t="shared" ref="I57:W57" si="17">SUM(I40:I56)</f>
        <v>571.36749125652068</v>
      </c>
      <c r="J57" s="345">
        <f t="shared" si="17"/>
        <v>0</v>
      </c>
      <c r="K57" s="345">
        <f t="shared" si="17"/>
        <v>0</v>
      </c>
      <c r="L57" s="345">
        <f t="shared" si="17"/>
        <v>0</v>
      </c>
      <c r="M57" s="345">
        <f t="shared" si="17"/>
        <v>571.36749125652068</v>
      </c>
      <c r="N57" s="345">
        <f t="shared" si="17"/>
        <v>571.36749125652068</v>
      </c>
      <c r="O57" s="345">
        <f t="shared" si="17"/>
        <v>0</v>
      </c>
      <c r="P57" s="345">
        <f t="shared" si="17"/>
        <v>0</v>
      </c>
      <c r="Q57" s="345">
        <f t="shared" si="17"/>
        <v>0</v>
      </c>
      <c r="R57" s="345">
        <f t="shared" si="17"/>
        <v>571.36749125652068</v>
      </c>
      <c r="S57" s="345">
        <f t="shared" si="17"/>
        <v>571.36749125652068</v>
      </c>
      <c r="T57" s="345">
        <f t="shared" si="17"/>
        <v>0</v>
      </c>
      <c r="U57" s="345">
        <f t="shared" si="17"/>
        <v>0</v>
      </c>
      <c r="V57" s="345">
        <f t="shared" si="17"/>
        <v>0</v>
      </c>
      <c r="W57" s="345">
        <f t="shared" si="17"/>
        <v>571.36749125652068</v>
      </c>
    </row>
    <row r="58" spans="1:23" s="1" customFormat="1" ht="16" x14ac:dyDescent="0.3">
      <c r="B58" s="258"/>
      <c r="C58" s="258"/>
      <c r="D58" s="258"/>
      <c r="E58" s="258"/>
      <c r="F58" s="258"/>
      <c r="G58" s="258"/>
      <c r="H58" s="258"/>
      <c r="I58" s="258"/>
      <c r="J58" s="258"/>
      <c r="K58" s="258"/>
      <c r="L58" s="258"/>
      <c r="M58" s="258"/>
      <c r="N58" s="258"/>
      <c r="O58" s="258"/>
    </row>
    <row r="59" spans="1:23" ht="16" x14ac:dyDescent="0.3">
      <c r="B59" s="258"/>
      <c r="C59" s="258"/>
      <c r="D59" s="258"/>
      <c r="E59" s="258"/>
      <c r="F59" s="258"/>
      <c r="G59" s="258"/>
      <c r="H59" s="258"/>
      <c r="I59" s="258"/>
      <c r="J59" s="258"/>
      <c r="K59" s="258"/>
      <c r="L59" s="258"/>
      <c r="M59" s="258"/>
      <c r="N59" s="258"/>
      <c r="O59" s="258"/>
      <c r="P59" s="1"/>
      <c r="Q59" s="1"/>
      <c r="R59" s="1"/>
    </row>
    <row r="60" spans="1:23" x14ac:dyDescent="0.3">
      <c r="B60" s="1"/>
      <c r="C60" s="1"/>
      <c r="D60" s="1"/>
      <c r="E60" s="1"/>
      <c r="F60" s="1"/>
      <c r="G60" s="1"/>
      <c r="H60" s="1"/>
      <c r="I60" s="1"/>
      <c r="J60" s="1"/>
      <c r="K60" s="1"/>
      <c r="L60" s="1"/>
      <c r="M60" s="1"/>
      <c r="N60" s="1"/>
      <c r="O60" s="1"/>
      <c r="P60" s="1"/>
      <c r="Q60" s="1"/>
      <c r="R60" s="1"/>
    </row>
    <row r="61" spans="1:23" x14ac:dyDescent="0.3">
      <c r="B61" s="1026" t="s">
        <v>272</v>
      </c>
      <c r="C61" s="1"/>
      <c r="D61" s="1"/>
      <c r="E61" s="1"/>
      <c r="F61" s="1"/>
      <c r="G61" s="1"/>
      <c r="H61" s="1"/>
      <c r="I61" s="1"/>
      <c r="J61" s="1"/>
      <c r="K61" s="1"/>
      <c r="L61" s="1"/>
      <c r="M61" s="1"/>
      <c r="N61" s="1"/>
      <c r="O61" s="1"/>
      <c r="P61" s="1"/>
      <c r="Q61" s="1"/>
      <c r="R61" s="1"/>
    </row>
    <row r="62" spans="1:23" x14ac:dyDescent="0.3">
      <c r="B62" s="1026"/>
      <c r="C62" s="1"/>
      <c r="D62" s="1"/>
      <c r="E62" s="1"/>
      <c r="F62" s="1"/>
      <c r="G62" s="1"/>
      <c r="H62" s="1"/>
      <c r="I62" s="1"/>
      <c r="J62" s="1"/>
      <c r="K62" s="1"/>
      <c r="L62" s="1"/>
      <c r="M62" s="1"/>
      <c r="N62" s="1"/>
      <c r="O62" s="1"/>
      <c r="P62" s="1"/>
      <c r="Q62" s="1"/>
      <c r="R62" s="1"/>
    </row>
    <row r="63" spans="1:23" ht="15" customHeight="1" x14ac:dyDescent="0.3">
      <c r="B63" s="1"/>
      <c r="C63" s="1"/>
      <c r="D63" s="8"/>
      <c r="E63" s="8"/>
      <c r="F63" s="8"/>
      <c r="G63" s="8"/>
      <c r="H63" s="8"/>
      <c r="I63" s="1"/>
      <c r="J63" s="42"/>
      <c r="K63" s="1"/>
      <c r="L63" s="1"/>
      <c r="N63" s="42"/>
      <c r="O63" s="1"/>
      <c r="P63" s="1"/>
      <c r="Q63" s="1"/>
      <c r="W63" s="255" t="s">
        <v>10</v>
      </c>
    </row>
    <row r="64" spans="1:23" ht="15" customHeight="1" x14ac:dyDescent="0.3">
      <c r="B64" s="1639" t="s">
        <v>340</v>
      </c>
      <c r="C64" s="1639" t="s">
        <v>38</v>
      </c>
      <c r="D64" s="1759" t="s">
        <v>505</v>
      </c>
      <c r="E64" s="1760"/>
      <c r="F64" s="1760"/>
      <c r="G64" s="1760"/>
      <c r="H64" s="1761"/>
      <c r="I64" s="1762" t="s">
        <v>506</v>
      </c>
      <c r="J64" s="1762"/>
      <c r="K64" s="1762"/>
      <c r="L64" s="1762"/>
      <c r="M64" s="1762"/>
      <c r="N64" s="1758" t="s">
        <v>507</v>
      </c>
      <c r="O64" s="1758"/>
      <c r="P64" s="1758"/>
      <c r="Q64" s="1758"/>
      <c r="R64" s="1758"/>
      <c r="S64" s="1758" t="s">
        <v>1067</v>
      </c>
      <c r="T64" s="1758"/>
      <c r="U64" s="1758"/>
      <c r="V64" s="1758"/>
      <c r="W64" s="1758"/>
    </row>
    <row r="65" spans="1:25" x14ac:dyDescent="0.3">
      <c r="B65" s="1639"/>
      <c r="C65" s="1639"/>
      <c r="D65" s="1764" t="s">
        <v>7</v>
      </c>
      <c r="E65" s="1765"/>
      <c r="F65" s="1765"/>
      <c r="G65" s="1765"/>
      <c r="H65" s="1765"/>
      <c r="I65" s="1764" t="s">
        <v>7</v>
      </c>
      <c r="J65" s="1765"/>
      <c r="K65" s="1765"/>
      <c r="L65" s="1765"/>
      <c r="M65" s="1765"/>
      <c r="N65" s="1764" t="s">
        <v>12</v>
      </c>
      <c r="O65" s="1765"/>
      <c r="P65" s="1765"/>
      <c r="Q65" s="1765"/>
      <c r="R65" s="1765"/>
      <c r="S65" s="1762" t="s">
        <v>21</v>
      </c>
      <c r="T65" s="1763"/>
      <c r="U65" s="1763"/>
      <c r="V65" s="1763"/>
      <c r="W65" s="1763"/>
    </row>
    <row r="66" spans="1:25" ht="56" x14ac:dyDescent="0.3">
      <c r="A66" s="5" t="s">
        <v>811</v>
      </c>
      <c r="B66" s="1639"/>
      <c r="C66" s="1639"/>
      <c r="D66" s="1030" t="s">
        <v>273</v>
      </c>
      <c r="E66" s="1030" t="s">
        <v>268</v>
      </c>
      <c r="F66" s="259" t="s">
        <v>274</v>
      </c>
      <c r="G66" s="1024" t="s">
        <v>586</v>
      </c>
      <c r="H66" s="1030" t="s">
        <v>275</v>
      </c>
      <c r="I66" s="1030" t="s">
        <v>273</v>
      </c>
      <c r="J66" s="1030" t="s">
        <v>268</v>
      </c>
      <c r="K66" s="259" t="s">
        <v>274</v>
      </c>
      <c r="L66" s="1024" t="s">
        <v>586</v>
      </c>
      <c r="M66" s="1030" t="s">
        <v>275</v>
      </c>
      <c r="N66" s="1030" t="s">
        <v>273</v>
      </c>
      <c r="O66" s="1030" t="s">
        <v>268</v>
      </c>
      <c r="P66" s="259" t="s">
        <v>274</v>
      </c>
      <c r="Q66" s="1024" t="s">
        <v>586</v>
      </c>
      <c r="R66" s="1030" t="s">
        <v>275</v>
      </c>
      <c r="S66" s="1030" t="s">
        <v>273</v>
      </c>
      <c r="T66" s="1030" t="s">
        <v>268</v>
      </c>
      <c r="U66" s="259" t="s">
        <v>274</v>
      </c>
      <c r="V66" s="1024" t="s">
        <v>586</v>
      </c>
      <c r="W66" s="1030" t="s">
        <v>275</v>
      </c>
    </row>
    <row r="67" spans="1:25" ht="28" x14ac:dyDescent="0.3">
      <c r="B67" s="256"/>
      <c r="C67" s="256"/>
      <c r="D67" s="256" t="s">
        <v>82</v>
      </c>
      <c r="E67" s="256" t="s">
        <v>83</v>
      </c>
      <c r="F67" s="256" t="s">
        <v>459</v>
      </c>
      <c r="G67" s="256" t="s">
        <v>391</v>
      </c>
      <c r="H67" s="256" t="s">
        <v>587</v>
      </c>
      <c r="I67" s="256" t="s">
        <v>409</v>
      </c>
      <c r="J67" s="256" t="s">
        <v>508</v>
      </c>
      <c r="K67" s="256" t="s">
        <v>410</v>
      </c>
      <c r="L67" s="256" t="s">
        <v>411</v>
      </c>
      <c r="M67" s="256" t="s">
        <v>652</v>
      </c>
      <c r="N67" s="256" t="s">
        <v>588</v>
      </c>
      <c r="O67" s="256" t="s">
        <v>653</v>
      </c>
      <c r="P67" s="256" t="s">
        <v>589</v>
      </c>
      <c r="Q67" s="256" t="s">
        <v>590</v>
      </c>
      <c r="R67" s="256" t="s">
        <v>1152</v>
      </c>
      <c r="S67" s="256" t="s">
        <v>591</v>
      </c>
      <c r="T67" s="256" t="s">
        <v>592</v>
      </c>
      <c r="U67" s="256" t="s">
        <v>654</v>
      </c>
      <c r="V67" s="256" t="s">
        <v>593</v>
      </c>
      <c r="W67" s="256" t="s">
        <v>1153</v>
      </c>
    </row>
    <row r="68" spans="1:25" x14ac:dyDescent="0.3">
      <c r="A68" s="441">
        <v>0</v>
      </c>
      <c r="B68" s="90">
        <v>1</v>
      </c>
      <c r="C68" s="432" t="s">
        <v>845</v>
      </c>
      <c r="D68" s="346">
        <f>'F5'!D68</f>
        <v>0</v>
      </c>
      <c r="E68" s="346">
        <f>'F5'!E68</f>
        <v>0</v>
      </c>
      <c r="F68" s="346">
        <f>'F5'!F68</f>
        <v>0</v>
      </c>
      <c r="G68" s="346">
        <f>'F5'!G68</f>
        <v>0</v>
      </c>
      <c r="H68" s="346">
        <f t="shared" ref="H68:H84" si="18">D68+E68-F68-G68</f>
        <v>0</v>
      </c>
      <c r="I68" s="343">
        <f>H68</f>
        <v>0</v>
      </c>
      <c r="J68" s="637">
        <f>'F5'!J68</f>
        <v>0</v>
      </c>
      <c r="K68" s="637">
        <f>'F5'!K68</f>
        <v>0</v>
      </c>
      <c r="L68" s="637">
        <f>'F5'!L68</f>
        <v>0</v>
      </c>
      <c r="M68" s="343">
        <f t="shared" ref="M68:M84" si="19">I68+J68-K68-L68</f>
        <v>0</v>
      </c>
      <c r="N68" s="346">
        <f>M68</f>
        <v>0</v>
      </c>
      <c r="O68" s="637">
        <f>'F5'!O68</f>
        <v>0</v>
      </c>
      <c r="P68" s="637">
        <f>'F5'!P68</f>
        <v>0</v>
      </c>
      <c r="Q68" s="637">
        <f>'F5'!Q68</f>
        <v>0</v>
      </c>
      <c r="R68" s="346">
        <f t="shared" ref="R68:R84" si="20">N68+O68-P68-Q68</f>
        <v>0</v>
      </c>
      <c r="S68" s="343">
        <f>'F5'!S68+'F5.1 (N)'!D42</f>
        <v>0</v>
      </c>
      <c r="T68" s="343">
        <f>'F5'!T68+'F5.1 (N)'!E42</f>
        <v>0</v>
      </c>
      <c r="U68" s="343">
        <f>'F5'!U68+'F5.1 (N)'!F42</f>
        <v>0</v>
      </c>
      <c r="V68" s="343">
        <f>'F5'!V68+'F5.1 (N)'!G42</f>
        <v>0</v>
      </c>
      <c r="W68" s="343">
        <f t="shared" ref="W68:W84" si="21">S68+T68-U68-V68</f>
        <v>0</v>
      </c>
      <c r="Y68" s="636">
        <v>0</v>
      </c>
    </row>
    <row r="69" spans="1:25" x14ac:dyDescent="0.3">
      <c r="A69" s="441">
        <v>3.3399999999999999E-2</v>
      </c>
      <c r="B69" s="90">
        <f>B68+1</f>
        <v>2</v>
      </c>
      <c r="C69" s="432" t="s">
        <v>846</v>
      </c>
      <c r="D69" s="346">
        <f>'F5'!D69</f>
        <v>16.593804864015169</v>
      </c>
      <c r="E69" s="346">
        <f>'F5'!E69</f>
        <v>3.242869076206626E-2</v>
      </c>
      <c r="F69" s="346">
        <f>'F5'!F69</f>
        <v>0</v>
      </c>
      <c r="G69" s="346">
        <f>'F5'!G69</f>
        <v>0</v>
      </c>
      <c r="H69" s="747">
        <f t="shared" si="18"/>
        <v>16.626233554777237</v>
      </c>
      <c r="I69" s="343">
        <f t="shared" ref="I69:I84" si="22">H69</f>
        <v>16.626233554777237</v>
      </c>
      <c r="J69" s="637">
        <f>'F5'!J69</f>
        <v>9.265340217733049E-3</v>
      </c>
      <c r="K69" s="637">
        <f>'F5'!K69</f>
        <v>0</v>
      </c>
      <c r="L69" s="637">
        <f>'F5'!L69</f>
        <v>0</v>
      </c>
      <c r="M69" s="343">
        <f t="shared" si="19"/>
        <v>16.635498894994971</v>
      </c>
      <c r="N69" s="346">
        <f t="shared" ref="N69:N84" si="23">M69</f>
        <v>16.635498894994971</v>
      </c>
      <c r="O69" s="637">
        <f>'F5'!O69</f>
        <v>9.265340217732879E-3</v>
      </c>
      <c r="P69" s="637">
        <f>'F5'!P69</f>
        <v>0</v>
      </c>
      <c r="Q69" s="637">
        <f>'F5'!Q69</f>
        <v>0</v>
      </c>
      <c r="R69" s="346">
        <f t="shared" si="20"/>
        <v>16.644764235212705</v>
      </c>
      <c r="S69" s="343">
        <f>'F5'!S69+'F5.1 (N)'!D43</f>
        <v>16.644764235212705</v>
      </c>
      <c r="T69" s="343">
        <f>'F5'!T69+'F5.1 (N)'!E43</f>
        <v>9.2653402177326431E-3</v>
      </c>
      <c r="U69" s="343">
        <f>'F5'!U69+'F5.1 (N)'!F43</f>
        <v>0</v>
      </c>
      <c r="V69" s="343">
        <f>'F5'!V69+'F5.1 (N)'!G43</f>
        <v>0</v>
      </c>
      <c r="W69" s="343">
        <f t="shared" si="21"/>
        <v>16.654029575430439</v>
      </c>
      <c r="Y69" s="636">
        <v>3.3399999999999999E-2</v>
      </c>
    </row>
    <row r="70" spans="1:25" x14ac:dyDescent="0.3">
      <c r="A70" s="441">
        <v>5.28E-2</v>
      </c>
      <c r="B70" s="90">
        <f t="shared" ref="B70:B84" si="24">B69+1</f>
        <v>3</v>
      </c>
      <c r="C70" s="432" t="s">
        <v>847</v>
      </c>
      <c r="D70" s="346">
        <f>'F5'!D70</f>
        <v>0</v>
      </c>
      <c r="E70" s="346">
        <f>'F5'!E70</f>
        <v>0</v>
      </c>
      <c r="F70" s="346">
        <f>'F5'!F70</f>
        <v>0</v>
      </c>
      <c r="G70" s="346">
        <f>'F5'!G70</f>
        <v>0</v>
      </c>
      <c r="H70" s="346">
        <f t="shared" si="18"/>
        <v>0</v>
      </c>
      <c r="I70" s="343">
        <f t="shared" si="22"/>
        <v>0</v>
      </c>
      <c r="J70" s="637">
        <f>'F5'!J70</f>
        <v>0</v>
      </c>
      <c r="K70" s="637">
        <f>'F5'!K70</f>
        <v>0</v>
      </c>
      <c r="L70" s="637">
        <f>'F5'!L70</f>
        <v>0</v>
      </c>
      <c r="M70" s="343">
        <f t="shared" si="19"/>
        <v>0</v>
      </c>
      <c r="N70" s="346">
        <f t="shared" si="23"/>
        <v>0</v>
      </c>
      <c r="O70" s="637">
        <f>'F5'!O70</f>
        <v>0</v>
      </c>
      <c r="P70" s="637">
        <f>'F5'!P70</f>
        <v>0</v>
      </c>
      <c r="Q70" s="637">
        <f>'F5'!Q70</f>
        <v>0</v>
      </c>
      <c r="R70" s="346">
        <f t="shared" si="20"/>
        <v>0</v>
      </c>
      <c r="S70" s="343">
        <f>'F5'!S70+'F5.1 (N)'!D44</f>
        <v>0</v>
      </c>
      <c r="T70" s="343">
        <f>'F5'!T70+'F5.1 (N)'!E44</f>
        <v>0</v>
      </c>
      <c r="U70" s="343">
        <f>'F5'!U70+'F5.1 (N)'!F44</f>
        <v>0</v>
      </c>
      <c r="V70" s="343">
        <f>'F5'!V70+'F5.1 (N)'!G44</f>
        <v>0</v>
      </c>
      <c r="W70" s="343">
        <f t="shared" si="21"/>
        <v>0</v>
      </c>
      <c r="Y70" s="636">
        <v>5.28E-2</v>
      </c>
    </row>
    <row r="71" spans="1:25" x14ac:dyDescent="0.3">
      <c r="A71" s="441">
        <v>5.28E-2</v>
      </c>
      <c r="B71" s="90">
        <f t="shared" si="24"/>
        <v>4</v>
      </c>
      <c r="C71" s="432" t="s">
        <v>848</v>
      </c>
      <c r="D71" s="346">
        <f>'F5'!D71</f>
        <v>59.665912315387345</v>
      </c>
      <c r="E71" s="346">
        <f>'F5'!E71</f>
        <v>0.53915846153755587</v>
      </c>
      <c r="F71" s="346">
        <f>'F5'!F71</f>
        <v>0</v>
      </c>
      <c r="G71" s="346">
        <f>'F5'!G71</f>
        <v>0</v>
      </c>
      <c r="H71" s="346">
        <f t="shared" si="18"/>
        <v>60.205070776924899</v>
      </c>
      <c r="I71" s="343">
        <f t="shared" si="22"/>
        <v>60.205070776924899</v>
      </c>
      <c r="J71" s="637">
        <f>'F5'!J71</f>
        <v>0.15404527472501631</v>
      </c>
      <c r="K71" s="637">
        <f>'F5'!K71</f>
        <v>0</v>
      </c>
      <c r="L71" s="637">
        <f>'F5'!L71</f>
        <v>0</v>
      </c>
      <c r="M71" s="343">
        <f t="shared" si="19"/>
        <v>60.359116051649913</v>
      </c>
      <c r="N71" s="346">
        <f t="shared" si="23"/>
        <v>60.359116051649913</v>
      </c>
      <c r="O71" s="637">
        <f>'F5'!O71</f>
        <v>0.15404527472501664</v>
      </c>
      <c r="P71" s="637">
        <f>'F5'!P71</f>
        <v>0</v>
      </c>
      <c r="Q71" s="637">
        <f>'F5'!Q71</f>
        <v>0</v>
      </c>
      <c r="R71" s="346">
        <f t="shared" si="20"/>
        <v>60.513161326374927</v>
      </c>
      <c r="S71" s="343">
        <f>'F5'!S71+'F5.1 (N)'!D45</f>
        <v>60.513161326374927</v>
      </c>
      <c r="T71" s="343">
        <f>'F5'!T71+'F5.1 (N)'!E45</f>
        <v>0.15404527472501711</v>
      </c>
      <c r="U71" s="343">
        <f>'F5'!U71+'F5.1 (N)'!F45</f>
        <v>0</v>
      </c>
      <c r="V71" s="343">
        <f>'F5'!V71+'F5.1 (N)'!G45</f>
        <v>0</v>
      </c>
      <c r="W71" s="343">
        <f t="shared" si="21"/>
        <v>60.667206601099942</v>
      </c>
      <c r="Y71" s="636">
        <v>5.28E-2</v>
      </c>
    </row>
    <row r="72" spans="1:25" x14ac:dyDescent="0.3">
      <c r="A72" s="441">
        <v>3.3399999999999999E-2</v>
      </c>
      <c r="B72" s="90">
        <f t="shared" si="24"/>
        <v>5</v>
      </c>
      <c r="C72" s="432" t="s">
        <v>849</v>
      </c>
      <c r="D72" s="346">
        <f>'F5'!D72</f>
        <v>51.594960559776432</v>
      </c>
      <c r="E72" s="346">
        <f>'F5'!E72</f>
        <v>2.8239063396000001</v>
      </c>
      <c r="F72" s="346">
        <f>'F5'!F72</f>
        <v>0</v>
      </c>
      <c r="G72" s="346">
        <f>'F5'!G72</f>
        <v>0</v>
      </c>
      <c r="H72" s="346">
        <f t="shared" si="18"/>
        <v>54.418866899376432</v>
      </c>
      <c r="I72" s="343">
        <f t="shared" si="22"/>
        <v>54.418866899376432</v>
      </c>
      <c r="J72" s="637">
        <f>'F5'!J72</f>
        <v>3.0963453858033674</v>
      </c>
      <c r="K72" s="637">
        <f>'F5'!K72</f>
        <v>0</v>
      </c>
      <c r="L72" s="637">
        <f>'F5'!L72</f>
        <v>0</v>
      </c>
      <c r="M72" s="343">
        <f t="shared" si="19"/>
        <v>57.5152122851798</v>
      </c>
      <c r="N72" s="346">
        <f t="shared" si="23"/>
        <v>57.5152122851798</v>
      </c>
      <c r="O72" s="637">
        <f>'F5'!O72</f>
        <v>3.0963453858033674</v>
      </c>
      <c r="P72" s="637">
        <f>'F5'!P72</f>
        <v>0</v>
      </c>
      <c r="Q72" s="637">
        <f>'F5'!Q72</f>
        <v>0</v>
      </c>
      <c r="R72" s="346">
        <f t="shared" si="20"/>
        <v>60.611557670983167</v>
      </c>
      <c r="S72" s="343">
        <f>'F5'!S72+'F5.1 (N)'!D46</f>
        <v>60.611557670983167</v>
      </c>
      <c r="T72" s="343">
        <f>'F5'!T72+'F5.1 (N)'!E46</f>
        <v>3.0963453858033674</v>
      </c>
      <c r="U72" s="343">
        <f>'F5'!U72+'F5.1 (N)'!F46</f>
        <v>0</v>
      </c>
      <c r="V72" s="343">
        <f>'F5'!V72+'F5.1 (N)'!G46</f>
        <v>0</v>
      </c>
      <c r="W72" s="343">
        <f t="shared" si="21"/>
        <v>63.707903056786535</v>
      </c>
      <c r="Y72" s="636">
        <v>3.3399999999999999E-2</v>
      </c>
    </row>
    <row r="73" spans="1:25" x14ac:dyDescent="0.3">
      <c r="A73" s="441">
        <v>5.28E-2</v>
      </c>
      <c r="B73" s="90">
        <f t="shared" si="24"/>
        <v>6</v>
      </c>
      <c r="C73" s="432" t="s">
        <v>256</v>
      </c>
      <c r="D73" s="346">
        <f>'F5'!D73</f>
        <v>240.76137771220448</v>
      </c>
      <c r="E73" s="346">
        <f>'F5'!E73</f>
        <v>5.0847731768204953</v>
      </c>
      <c r="F73" s="346">
        <f>'F5'!F73</f>
        <v>0</v>
      </c>
      <c r="G73" s="346">
        <f>'F5'!G73</f>
        <v>0</v>
      </c>
      <c r="H73" s="346">
        <f t="shared" si="18"/>
        <v>245.84615088902498</v>
      </c>
      <c r="I73" s="343">
        <f t="shared" si="22"/>
        <v>245.84615088902498</v>
      </c>
      <c r="J73" s="637">
        <f>'F5'!J73</f>
        <v>1.4527923362344259</v>
      </c>
      <c r="K73" s="637">
        <f>'F5'!K73</f>
        <v>0</v>
      </c>
      <c r="L73" s="637">
        <f>'F5'!L73</f>
        <v>0</v>
      </c>
      <c r="M73" s="343">
        <f t="shared" si="19"/>
        <v>247.29894322525942</v>
      </c>
      <c r="N73" s="346">
        <f t="shared" si="23"/>
        <v>247.29894322525942</v>
      </c>
      <c r="O73" s="637">
        <f>'F5'!O73</f>
        <v>2.2837923362344319</v>
      </c>
      <c r="P73" s="637">
        <f>'F5'!P73</f>
        <v>0</v>
      </c>
      <c r="Q73" s="637">
        <f>'F5'!Q73</f>
        <v>0</v>
      </c>
      <c r="R73" s="346">
        <f t="shared" si="20"/>
        <v>249.58273556149385</v>
      </c>
      <c r="S73" s="343">
        <f>'F5'!S73+'F5.1 (N)'!D47</f>
        <v>249.58273556149385</v>
      </c>
      <c r="T73" s="343">
        <f>'F5'!T73+'F5.1 (N)'!E47</f>
        <v>2.2837923362344328</v>
      </c>
      <c r="U73" s="343">
        <f>'F5'!U73+'F5.1 (N)'!F47</f>
        <v>0</v>
      </c>
      <c r="V73" s="343">
        <f>'F5'!V73+'F5.1 (N)'!G47</f>
        <v>0</v>
      </c>
      <c r="W73" s="343">
        <f t="shared" si="21"/>
        <v>251.86652789772828</v>
      </c>
      <c r="Y73" s="636">
        <v>5.28E-2</v>
      </c>
    </row>
    <row r="74" spans="1:25" x14ac:dyDescent="0.3">
      <c r="A74" s="441">
        <v>0.18</v>
      </c>
      <c r="B74" s="90">
        <f t="shared" si="24"/>
        <v>7</v>
      </c>
      <c r="C74" s="432" t="s">
        <v>850</v>
      </c>
      <c r="D74" s="346">
        <f>'F5'!D74</f>
        <v>0.5782085407344848</v>
      </c>
      <c r="E74" s="346">
        <f>'F5'!E74</f>
        <v>0.45022007324979152</v>
      </c>
      <c r="F74" s="346">
        <f>'F5'!F74</f>
        <v>0</v>
      </c>
      <c r="G74" s="346">
        <f>'F5'!G74</f>
        <v>0</v>
      </c>
      <c r="H74" s="346">
        <f t="shared" si="18"/>
        <v>1.0284286139842762</v>
      </c>
      <c r="I74" s="343">
        <f t="shared" si="22"/>
        <v>1.0284286139842762</v>
      </c>
      <c r="J74" s="637">
        <f>'F5'!J74</f>
        <v>0.45022007324979152</v>
      </c>
      <c r="K74" s="637">
        <f>'F5'!K74</f>
        <v>0</v>
      </c>
      <c r="L74" s="637">
        <f>'F5'!L74</f>
        <v>0</v>
      </c>
      <c r="M74" s="343">
        <f t="shared" si="19"/>
        <v>1.4786486872340676</v>
      </c>
      <c r="N74" s="346">
        <f t="shared" si="23"/>
        <v>1.4786486872340676</v>
      </c>
      <c r="O74" s="637">
        <f>'F5'!O74</f>
        <v>0.45022007324979152</v>
      </c>
      <c r="P74" s="637">
        <f>'F5'!P74</f>
        <v>0</v>
      </c>
      <c r="Q74" s="637">
        <f>'F5'!Q74</f>
        <v>0</v>
      </c>
      <c r="R74" s="346">
        <f t="shared" si="20"/>
        <v>1.928868760483859</v>
      </c>
      <c r="S74" s="343">
        <f>'F5'!S74+'F5.1 (N)'!D48</f>
        <v>1.928868760483859</v>
      </c>
      <c r="T74" s="343">
        <f>'F5'!T74+'F5.1 (N)'!E48</f>
        <v>6.4446321153019695E-2</v>
      </c>
      <c r="U74" s="343">
        <f>'F5'!U74+'F5.1 (N)'!F48</f>
        <v>0</v>
      </c>
      <c r="V74" s="343">
        <f>'F5'!V74+'F5.1 (N)'!G48</f>
        <v>0</v>
      </c>
      <c r="W74" s="343">
        <f t="shared" si="21"/>
        <v>1.9933150816368788</v>
      </c>
      <c r="Y74" s="636">
        <v>0.18</v>
      </c>
    </row>
    <row r="75" spans="1:25" x14ac:dyDescent="0.3">
      <c r="A75" s="441">
        <v>5.28E-2</v>
      </c>
      <c r="B75" s="90">
        <f t="shared" si="24"/>
        <v>8</v>
      </c>
      <c r="C75" s="432" t="s">
        <v>851</v>
      </c>
      <c r="D75" s="346">
        <f>'F5'!D75</f>
        <v>4.8654768887134506E-3</v>
      </c>
      <c r="E75" s="346">
        <f>'F5'!E75</f>
        <v>3.2436512591423002E-3</v>
      </c>
      <c r="F75" s="346">
        <f>'F5'!F75</f>
        <v>0</v>
      </c>
      <c r="G75" s="346">
        <f>'F5'!G75</f>
        <v>0</v>
      </c>
      <c r="H75" s="346">
        <f t="shared" si="18"/>
        <v>8.1091281478557504E-3</v>
      </c>
      <c r="I75" s="343">
        <f t="shared" si="22"/>
        <v>8.1091281478557504E-3</v>
      </c>
      <c r="J75" s="637">
        <f>'F5'!J75</f>
        <v>3.2436512591423002E-3</v>
      </c>
      <c r="K75" s="637">
        <f>'F5'!K75</f>
        <v>0</v>
      </c>
      <c r="L75" s="637">
        <f>'F5'!L75</f>
        <v>0</v>
      </c>
      <c r="M75" s="343">
        <f t="shared" si="19"/>
        <v>1.135277940699805E-2</v>
      </c>
      <c r="N75" s="346">
        <f t="shared" si="23"/>
        <v>1.135277940699805E-2</v>
      </c>
      <c r="O75" s="637">
        <f>'F5'!O75</f>
        <v>3.2436512591423002E-3</v>
      </c>
      <c r="P75" s="637">
        <f>'F5'!P75</f>
        <v>0</v>
      </c>
      <c r="Q75" s="637">
        <f>'F5'!Q75</f>
        <v>0</v>
      </c>
      <c r="R75" s="346">
        <f t="shared" si="20"/>
        <v>1.459643066614035E-2</v>
      </c>
      <c r="S75" s="343">
        <f>'F5'!S75+'F5.1 (N)'!D49</f>
        <v>1.459643066614035E-2</v>
      </c>
      <c r="T75" s="343">
        <f>'F5'!T75+'F5.1 (N)'!E49</f>
        <v>3.2436512591423002E-3</v>
      </c>
      <c r="U75" s="343">
        <f>'F5'!U75+'F5.1 (N)'!F49</f>
        <v>0</v>
      </c>
      <c r="V75" s="343">
        <f>'F5'!V75+'F5.1 (N)'!G49</f>
        <v>0</v>
      </c>
      <c r="W75" s="343">
        <f t="shared" si="21"/>
        <v>1.784008192528265E-2</v>
      </c>
      <c r="Y75" s="636">
        <v>5.28E-2</v>
      </c>
    </row>
    <row r="76" spans="1:25" x14ac:dyDescent="0.3">
      <c r="A76" s="441">
        <v>5.28E-2</v>
      </c>
      <c r="B76" s="90">
        <f t="shared" si="24"/>
        <v>9</v>
      </c>
      <c r="C76" s="432" t="s">
        <v>852</v>
      </c>
      <c r="D76" s="346">
        <f>'F5'!D76</f>
        <v>0.3910440176002814</v>
      </c>
      <c r="E76" s="346">
        <f>'F5'!E76</f>
        <v>0</v>
      </c>
      <c r="F76" s="346">
        <f>'F5'!F76</f>
        <v>0</v>
      </c>
      <c r="G76" s="346">
        <f>'F5'!G76</f>
        <v>0</v>
      </c>
      <c r="H76" s="346">
        <f t="shared" si="18"/>
        <v>0.3910440176002814</v>
      </c>
      <c r="I76" s="343">
        <f t="shared" si="22"/>
        <v>0.3910440176002814</v>
      </c>
      <c r="J76" s="637">
        <f>'F5'!J76</f>
        <v>0</v>
      </c>
      <c r="K76" s="637">
        <f>'F5'!K76</f>
        <v>0</v>
      </c>
      <c r="L76" s="637">
        <f>'F5'!L76</f>
        <v>0</v>
      </c>
      <c r="M76" s="343">
        <f t="shared" si="19"/>
        <v>0.3910440176002814</v>
      </c>
      <c r="N76" s="346">
        <f t="shared" si="23"/>
        <v>0.3910440176002814</v>
      </c>
      <c r="O76" s="637">
        <f>'F5'!O76</f>
        <v>0</v>
      </c>
      <c r="P76" s="637">
        <f>'F5'!P76</f>
        <v>0</v>
      </c>
      <c r="Q76" s="637">
        <f>'F5'!Q76</f>
        <v>0</v>
      </c>
      <c r="R76" s="346">
        <f t="shared" si="20"/>
        <v>0.3910440176002814</v>
      </c>
      <c r="S76" s="343">
        <f>'F5'!S76+'F5.1 (N)'!D50</f>
        <v>0.3910440176002814</v>
      </c>
      <c r="T76" s="343">
        <f>'F5'!T76+'F5.1 (N)'!E50</f>
        <v>0</v>
      </c>
      <c r="U76" s="343">
        <f>'F5'!U76+'F5.1 (N)'!F50</f>
        <v>0</v>
      </c>
      <c r="V76" s="343">
        <f>'F5'!V76+'F5.1 (N)'!G50</f>
        <v>0</v>
      </c>
      <c r="W76" s="343">
        <f t="shared" si="21"/>
        <v>0.3910440176002814</v>
      </c>
      <c r="Y76" s="636">
        <v>5.28E-2</v>
      </c>
    </row>
    <row r="77" spans="1:25" x14ac:dyDescent="0.3">
      <c r="A77" s="441">
        <v>9.5000000000000001E-2</v>
      </c>
      <c r="B77" s="90">
        <f t="shared" si="24"/>
        <v>10</v>
      </c>
      <c r="C77" s="432" t="s">
        <v>259</v>
      </c>
      <c r="D77" s="346">
        <f>'F5'!D77</f>
        <v>1.3056993899999998</v>
      </c>
      <c r="E77" s="346">
        <f>'F5'!E77</f>
        <v>0</v>
      </c>
      <c r="F77" s="346">
        <f>'F5'!F77</f>
        <v>0</v>
      </c>
      <c r="G77" s="346">
        <f>'F5'!G77</f>
        <v>0</v>
      </c>
      <c r="H77" s="346">
        <f t="shared" si="18"/>
        <v>1.3056993899999998</v>
      </c>
      <c r="I77" s="343">
        <f t="shared" si="22"/>
        <v>1.3056993899999998</v>
      </c>
      <c r="J77" s="637">
        <f>'F5'!J77</f>
        <v>0</v>
      </c>
      <c r="K77" s="637">
        <f>'F5'!K77</f>
        <v>0</v>
      </c>
      <c r="L77" s="637">
        <f>'F5'!L77</f>
        <v>0</v>
      </c>
      <c r="M77" s="343">
        <f t="shared" si="19"/>
        <v>1.3056993899999998</v>
      </c>
      <c r="N77" s="346">
        <f t="shared" si="23"/>
        <v>1.3056993899999998</v>
      </c>
      <c r="O77" s="637">
        <f>'F5'!O77</f>
        <v>0</v>
      </c>
      <c r="P77" s="637">
        <f>'F5'!P77</f>
        <v>0</v>
      </c>
      <c r="Q77" s="637">
        <f>'F5'!Q77</f>
        <v>0</v>
      </c>
      <c r="R77" s="346">
        <f t="shared" si="20"/>
        <v>1.3056993899999998</v>
      </c>
      <c r="S77" s="343">
        <f>'F5'!S77+'F5.1 (N)'!D51</f>
        <v>1.3056993899999998</v>
      </c>
      <c r="T77" s="343">
        <f>'F5'!T77+'F5.1 (N)'!E51</f>
        <v>0</v>
      </c>
      <c r="U77" s="343">
        <f>'F5'!U77+'F5.1 (N)'!F51</f>
        <v>0</v>
      </c>
      <c r="V77" s="343">
        <f>'F5'!V77+'F5.1 (N)'!G51</f>
        <v>0</v>
      </c>
      <c r="W77" s="343">
        <f t="shared" si="21"/>
        <v>1.3056993899999998</v>
      </c>
      <c r="Y77" s="636">
        <v>9.5000000000000001E-2</v>
      </c>
    </row>
    <row r="78" spans="1:25" x14ac:dyDescent="0.3">
      <c r="A78" s="441">
        <v>6.3299999999999995E-2</v>
      </c>
      <c r="B78" s="90">
        <f t="shared" si="24"/>
        <v>11</v>
      </c>
      <c r="C78" s="432" t="s">
        <v>260</v>
      </c>
      <c r="D78" s="346">
        <f>'F5'!D78</f>
        <v>0.6107223023055095</v>
      </c>
      <c r="E78" s="346">
        <f>'F5'!E78</f>
        <v>3.768650503427081E-3</v>
      </c>
      <c r="F78" s="346">
        <f>'F5'!F78</f>
        <v>0</v>
      </c>
      <c r="G78" s="346">
        <f>'F5'!G78</f>
        <v>0</v>
      </c>
      <c r="H78" s="346">
        <f t="shared" si="18"/>
        <v>0.61449095280893662</v>
      </c>
      <c r="I78" s="343">
        <f t="shared" si="22"/>
        <v>0.61449095280893662</v>
      </c>
      <c r="J78" s="637">
        <f>'F5'!J78</f>
        <v>2.7716427629550573E-2</v>
      </c>
      <c r="K78" s="637">
        <f>'F5'!K78</f>
        <v>0</v>
      </c>
      <c r="L78" s="637">
        <f>'F5'!L78</f>
        <v>0</v>
      </c>
      <c r="M78" s="343">
        <f t="shared" si="19"/>
        <v>0.64220738043848724</v>
      </c>
      <c r="N78" s="346">
        <f t="shared" si="23"/>
        <v>0.64220738043848724</v>
      </c>
      <c r="O78" s="637">
        <f>'F5'!O78</f>
        <v>4.0519347629550562E-2</v>
      </c>
      <c r="P78" s="637">
        <f>'F5'!P78</f>
        <v>0</v>
      </c>
      <c r="Q78" s="637">
        <f>'F5'!Q78</f>
        <v>0</v>
      </c>
      <c r="R78" s="346">
        <f t="shared" si="20"/>
        <v>0.6827267280680378</v>
      </c>
      <c r="S78" s="343">
        <f>'F5'!S78+'F5.1 (N)'!D52</f>
        <v>0.6827267280680378</v>
      </c>
      <c r="T78" s="343">
        <f>'F5'!T78+'F5.1 (N)'!E52</f>
        <v>4.0519347629550562E-2</v>
      </c>
      <c r="U78" s="343">
        <f>'F5'!U78+'F5.1 (N)'!F52</f>
        <v>0</v>
      </c>
      <c r="V78" s="343">
        <f>'F5'!V78+'F5.1 (N)'!G52</f>
        <v>0</v>
      </c>
      <c r="W78" s="343">
        <f t="shared" si="21"/>
        <v>0.72324607569758836</v>
      </c>
      <c r="Y78" s="636">
        <v>6.3299999999999995E-2</v>
      </c>
    </row>
    <row r="79" spans="1:25" x14ac:dyDescent="0.3">
      <c r="A79" s="441">
        <v>6.3299999999999995E-2</v>
      </c>
      <c r="B79" s="90">
        <f t="shared" si="24"/>
        <v>12</v>
      </c>
      <c r="C79" s="432" t="s">
        <v>261</v>
      </c>
      <c r="D79" s="346">
        <f>'F5'!D79</f>
        <v>1.3388843668098123</v>
      </c>
      <c r="E79" s="346">
        <f>'F5'!E79</f>
        <v>0.13911228711053494</v>
      </c>
      <c r="F79" s="346">
        <f>'F5'!F79</f>
        <v>0</v>
      </c>
      <c r="G79" s="346">
        <f>'F5'!G79</f>
        <v>0</v>
      </c>
      <c r="H79" s="346">
        <f t="shared" si="18"/>
        <v>1.4779966539203473</v>
      </c>
      <c r="I79" s="343">
        <f t="shared" si="22"/>
        <v>1.4779966539203473</v>
      </c>
      <c r="J79" s="637">
        <f>'F5'!J79</f>
        <v>7.1414737545302351E-2</v>
      </c>
      <c r="K79" s="637">
        <f>'F5'!K79</f>
        <v>0</v>
      </c>
      <c r="L79" s="637">
        <f>'F5'!L79</f>
        <v>0</v>
      </c>
      <c r="M79" s="343">
        <f t="shared" si="19"/>
        <v>1.5494113914656495</v>
      </c>
      <c r="N79" s="346">
        <f t="shared" si="23"/>
        <v>1.5494113914656495</v>
      </c>
      <c r="O79" s="637">
        <f>'F5'!O79</f>
        <v>7.1414737545302365E-2</v>
      </c>
      <c r="P79" s="637">
        <f>'F5'!P79</f>
        <v>0</v>
      </c>
      <c r="Q79" s="637">
        <f>'F5'!Q79</f>
        <v>0</v>
      </c>
      <c r="R79" s="346">
        <f t="shared" si="20"/>
        <v>1.6208261290109518</v>
      </c>
      <c r="S79" s="343">
        <f>'F5'!S79+'F5.1 (N)'!D53</f>
        <v>1.6208261290109518</v>
      </c>
      <c r="T79" s="343">
        <f>'F5'!T79+'F5.1 (N)'!E53</f>
        <v>7.1414737545302392E-2</v>
      </c>
      <c r="U79" s="343">
        <f>'F5'!U79+'F5.1 (N)'!F53</f>
        <v>0</v>
      </c>
      <c r="V79" s="343">
        <f>'F5'!V79+'F5.1 (N)'!G53</f>
        <v>0</v>
      </c>
      <c r="W79" s="343">
        <f t="shared" si="21"/>
        <v>1.6922408665562543</v>
      </c>
      <c r="Y79" s="636">
        <v>6.3299999999999995E-2</v>
      </c>
    </row>
    <row r="80" spans="1:25" x14ac:dyDescent="0.3">
      <c r="A80" s="441">
        <v>6.3299999999999995E-2</v>
      </c>
      <c r="B80" s="90">
        <f t="shared" si="24"/>
        <v>13</v>
      </c>
      <c r="C80" s="450" t="s">
        <v>899</v>
      </c>
      <c r="D80" s="346">
        <f>'F5'!D80</f>
        <v>0</v>
      </c>
      <c r="E80" s="346">
        <f>'F5'!E80</f>
        <v>0</v>
      </c>
      <c r="F80" s="346">
        <f>'F5'!F80</f>
        <v>0</v>
      </c>
      <c r="G80" s="346">
        <f>'F5'!G80</f>
        <v>0</v>
      </c>
      <c r="H80" s="346">
        <f t="shared" si="18"/>
        <v>0</v>
      </c>
      <c r="I80" s="343">
        <f t="shared" si="22"/>
        <v>0</v>
      </c>
      <c r="J80" s="637">
        <f>'F5'!J80</f>
        <v>0</v>
      </c>
      <c r="K80" s="637">
        <f>'F5'!K80</f>
        <v>0</v>
      </c>
      <c r="L80" s="637">
        <f>'F5'!L80</f>
        <v>0</v>
      </c>
      <c r="M80" s="343">
        <f t="shared" si="19"/>
        <v>0</v>
      </c>
      <c r="N80" s="346">
        <f t="shared" si="23"/>
        <v>0</v>
      </c>
      <c r="O80" s="637">
        <f>'F5'!O80</f>
        <v>0</v>
      </c>
      <c r="P80" s="637">
        <f>'F5'!P80</f>
        <v>0</v>
      </c>
      <c r="Q80" s="637">
        <f>'F5'!Q80</f>
        <v>0</v>
      </c>
      <c r="R80" s="346">
        <f t="shared" si="20"/>
        <v>0</v>
      </c>
      <c r="S80" s="343">
        <f>'F5'!S80+'F5.1 (N)'!D54</f>
        <v>0</v>
      </c>
      <c r="T80" s="343">
        <f>'F5'!T80+'F5.1 (N)'!E54</f>
        <v>0</v>
      </c>
      <c r="U80" s="343">
        <f>'F5'!U80+'F5.1 (N)'!F54</f>
        <v>0</v>
      </c>
      <c r="V80" s="343">
        <f>'F5'!V80+'F5.1 (N)'!G54</f>
        <v>0</v>
      </c>
      <c r="W80" s="343">
        <f t="shared" si="21"/>
        <v>0</v>
      </c>
      <c r="Y80" s="636">
        <v>6.3299999999999995E-2</v>
      </c>
    </row>
    <row r="81" spans="1:33" x14ac:dyDescent="0.3">
      <c r="A81" s="441">
        <v>0.15</v>
      </c>
      <c r="B81" s="90">
        <f t="shared" si="24"/>
        <v>14</v>
      </c>
      <c r="C81" s="450" t="s">
        <v>900</v>
      </c>
      <c r="D81" s="346">
        <f>'F5'!D81</f>
        <v>0</v>
      </c>
      <c r="E81" s="346">
        <f>'F5'!E81</f>
        <v>1.9414726050000001E-2</v>
      </c>
      <c r="F81" s="346">
        <f>'F5'!F81</f>
        <v>0</v>
      </c>
      <c r="G81" s="346">
        <f>'F5'!G81</f>
        <v>0</v>
      </c>
      <c r="H81" s="346">
        <f t="shared" si="18"/>
        <v>1.9414726050000001E-2</v>
      </c>
      <c r="I81" s="343">
        <f t="shared" si="22"/>
        <v>1.9414726050000001E-2</v>
      </c>
      <c r="J81" s="637">
        <f>'F5'!J81</f>
        <v>-2.7123954000000017E-3</v>
      </c>
      <c r="K81" s="637">
        <f>'F5'!K81</f>
        <v>0</v>
      </c>
      <c r="L81" s="637">
        <f>'F5'!L81</f>
        <v>0</v>
      </c>
      <c r="M81" s="343">
        <f t="shared" si="19"/>
        <v>1.670233065E-2</v>
      </c>
      <c r="N81" s="346">
        <f t="shared" si="23"/>
        <v>1.670233065E-2</v>
      </c>
      <c r="O81" s="637">
        <f>'F5'!O81</f>
        <v>-2.2331679000000019E-3</v>
      </c>
      <c r="P81" s="637">
        <f>'F5'!P81</f>
        <v>0</v>
      </c>
      <c r="Q81" s="637">
        <f>'F5'!Q81</f>
        <v>0</v>
      </c>
      <c r="R81" s="346">
        <f t="shared" si="20"/>
        <v>1.4469162749999997E-2</v>
      </c>
      <c r="S81" s="343">
        <f>'F5'!S81+'F5.1 (N)'!D55</f>
        <v>1.4469162749999997E-2</v>
      </c>
      <c r="T81" s="343">
        <f>'F5'!T81+'F5.1 (N)'!E55</f>
        <v>-2.2331679000000019E-3</v>
      </c>
      <c r="U81" s="343">
        <f>'F5'!U81+'F5.1 (N)'!F55</f>
        <v>0</v>
      </c>
      <c r="V81" s="343">
        <f>'F5'!V81+'F5.1 (N)'!G55</f>
        <v>0</v>
      </c>
      <c r="W81" s="343">
        <f t="shared" si="21"/>
        <v>1.2235994849999994E-2</v>
      </c>
      <c r="Y81" s="636">
        <v>0.15</v>
      </c>
    </row>
    <row r="82" spans="1:33" x14ac:dyDescent="0.3">
      <c r="A82" s="441">
        <v>0.3</v>
      </c>
      <c r="B82" s="90">
        <f t="shared" si="24"/>
        <v>15</v>
      </c>
      <c r="C82" s="450" t="s">
        <v>901</v>
      </c>
      <c r="D82" s="346">
        <f>'F5'!D82</f>
        <v>0</v>
      </c>
      <c r="E82" s="346">
        <f>'F5'!E82</f>
        <v>0</v>
      </c>
      <c r="F82" s="346">
        <f>'F5'!F82</f>
        <v>0</v>
      </c>
      <c r="G82" s="346">
        <f>'F5'!G82</f>
        <v>0</v>
      </c>
      <c r="H82" s="346">
        <f t="shared" si="18"/>
        <v>0</v>
      </c>
      <c r="I82" s="343">
        <f t="shared" si="22"/>
        <v>0</v>
      </c>
      <c r="J82" s="637">
        <f>'F5'!J82</f>
        <v>0</v>
      </c>
      <c r="K82" s="637">
        <f>'F5'!K82</f>
        <v>0</v>
      </c>
      <c r="L82" s="637">
        <f>'F5'!L82</f>
        <v>0</v>
      </c>
      <c r="M82" s="343">
        <f t="shared" si="19"/>
        <v>0</v>
      </c>
      <c r="N82" s="346">
        <f t="shared" si="23"/>
        <v>0</v>
      </c>
      <c r="O82" s="637">
        <f>'F5'!O82</f>
        <v>0</v>
      </c>
      <c r="P82" s="637">
        <f>'F5'!P82</f>
        <v>0</v>
      </c>
      <c r="Q82" s="637">
        <f>'F5'!Q82</f>
        <v>0</v>
      </c>
      <c r="R82" s="346">
        <f t="shared" si="20"/>
        <v>0</v>
      </c>
      <c r="S82" s="343">
        <f>'F5'!S82+'F5.1 (N)'!D56</f>
        <v>0</v>
      </c>
      <c r="T82" s="343">
        <f>'F5'!T82+'F5.1 (N)'!E56</f>
        <v>0</v>
      </c>
      <c r="U82" s="343">
        <f>'F5'!U82+'F5.1 (N)'!F56</f>
        <v>0</v>
      </c>
      <c r="V82" s="343">
        <f>'F5'!V82+'F5.1 (N)'!G56</f>
        <v>0</v>
      </c>
      <c r="W82" s="343">
        <f t="shared" si="21"/>
        <v>0</v>
      </c>
      <c r="Y82" s="636">
        <v>0.3</v>
      </c>
    </row>
    <row r="83" spans="1:33" x14ac:dyDescent="0.3">
      <c r="A83" s="441">
        <v>0.3</v>
      </c>
      <c r="B83" s="90">
        <f t="shared" si="24"/>
        <v>16</v>
      </c>
      <c r="C83" s="450" t="s">
        <v>853</v>
      </c>
      <c r="D83" s="346">
        <f>'F5'!D83</f>
        <v>0</v>
      </c>
      <c r="E83" s="346">
        <f>'F5'!E83</f>
        <v>0</v>
      </c>
      <c r="F83" s="346">
        <f>'F5'!F83</f>
        <v>0</v>
      </c>
      <c r="G83" s="346">
        <f>'F5'!G83</f>
        <v>0</v>
      </c>
      <c r="H83" s="346">
        <f t="shared" si="18"/>
        <v>0</v>
      </c>
      <c r="I83" s="343">
        <f t="shared" si="22"/>
        <v>0</v>
      </c>
      <c r="J83" s="637">
        <f>'F5'!J83</f>
        <v>0</v>
      </c>
      <c r="K83" s="637">
        <f>'F5'!K83</f>
        <v>0</v>
      </c>
      <c r="L83" s="637">
        <f>'F5'!L83</f>
        <v>0</v>
      </c>
      <c r="M83" s="343">
        <f t="shared" si="19"/>
        <v>0</v>
      </c>
      <c r="N83" s="346">
        <f t="shared" si="23"/>
        <v>0</v>
      </c>
      <c r="O83" s="637">
        <f>'F5'!O83</f>
        <v>0</v>
      </c>
      <c r="P83" s="637">
        <f>'F5'!P83</f>
        <v>0</v>
      </c>
      <c r="Q83" s="637">
        <f>'F5'!Q83</f>
        <v>0</v>
      </c>
      <c r="R83" s="346">
        <f t="shared" si="20"/>
        <v>0</v>
      </c>
      <c r="S83" s="343">
        <f>'F5'!S83+'F5.1 (N)'!D57</f>
        <v>0</v>
      </c>
      <c r="T83" s="343">
        <f>'F5'!T83+'F5.1 (N)'!E57</f>
        <v>0</v>
      </c>
      <c r="U83" s="343">
        <f>'F5'!U83+'F5.1 (N)'!F57</f>
        <v>0</v>
      </c>
      <c r="V83" s="343">
        <f>'F5'!V83+'F5.1 (N)'!G57</f>
        <v>0</v>
      </c>
      <c r="W83" s="343">
        <f t="shared" si="21"/>
        <v>0</v>
      </c>
      <c r="Y83" s="636">
        <v>0.3</v>
      </c>
    </row>
    <row r="84" spans="1:33" x14ac:dyDescent="0.3">
      <c r="A84" s="441">
        <v>3.3399999999999999E-2</v>
      </c>
      <c r="B84" s="90">
        <f t="shared" si="24"/>
        <v>17</v>
      </c>
      <c r="C84" s="450" t="s">
        <v>902</v>
      </c>
      <c r="D84" s="346">
        <f>'F5'!D84</f>
        <v>0</v>
      </c>
      <c r="E84" s="346">
        <f>'F5'!E84</f>
        <v>0</v>
      </c>
      <c r="F84" s="346">
        <f>'F5'!F84</f>
        <v>0</v>
      </c>
      <c r="G84" s="346">
        <f>'F5'!G84</f>
        <v>0</v>
      </c>
      <c r="H84" s="346">
        <f t="shared" si="18"/>
        <v>0</v>
      </c>
      <c r="I84" s="343">
        <f t="shared" si="22"/>
        <v>0</v>
      </c>
      <c r="J84" s="637">
        <f>'F5'!J84</f>
        <v>0</v>
      </c>
      <c r="K84" s="637">
        <f>'F5'!K84</f>
        <v>0</v>
      </c>
      <c r="L84" s="637">
        <f>'F5'!L84</f>
        <v>0</v>
      </c>
      <c r="M84" s="343">
        <f t="shared" si="19"/>
        <v>0</v>
      </c>
      <c r="N84" s="346">
        <f t="shared" si="23"/>
        <v>0</v>
      </c>
      <c r="O84" s="637">
        <f>'F5'!O84</f>
        <v>0</v>
      </c>
      <c r="P84" s="637">
        <f>'F5'!P84</f>
        <v>0</v>
      </c>
      <c r="Q84" s="637">
        <f>'F5'!Q84</f>
        <v>0</v>
      </c>
      <c r="R84" s="346">
        <f t="shared" si="20"/>
        <v>0</v>
      </c>
      <c r="S84" s="343">
        <f>'F5'!S84+'F5.1 (N)'!D58</f>
        <v>0</v>
      </c>
      <c r="T84" s="343">
        <f>'F5'!T84+'F5.1 (N)'!E58</f>
        <v>0</v>
      </c>
      <c r="U84" s="343">
        <f>'F5'!U84+'F5.1 (N)'!F58</f>
        <v>0</v>
      </c>
      <c r="V84" s="343">
        <f>'F5'!V84+'F5.1 (N)'!G58</f>
        <v>0</v>
      </c>
      <c r="W84" s="343">
        <f t="shared" si="21"/>
        <v>0</v>
      </c>
      <c r="Y84" s="636">
        <v>3.3399999999999999E-2</v>
      </c>
    </row>
    <row r="85" spans="1:33" ht="16" x14ac:dyDescent="0.3">
      <c r="A85" s="442"/>
      <c r="B85" s="78"/>
      <c r="C85" s="92" t="s">
        <v>271</v>
      </c>
      <c r="D85" s="345">
        <f t="shared" ref="D85:W85" si="25">SUM(D68:D84)</f>
        <v>372.84547954572218</v>
      </c>
      <c r="E85" s="345">
        <f t="shared" si="25"/>
        <v>9.0960260568930131</v>
      </c>
      <c r="F85" s="345">
        <f t="shared" si="25"/>
        <v>0</v>
      </c>
      <c r="G85" s="345">
        <f t="shared" si="25"/>
        <v>0</v>
      </c>
      <c r="H85" s="345">
        <f t="shared" si="25"/>
        <v>381.94150560261517</v>
      </c>
      <c r="I85" s="345">
        <f t="shared" si="25"/>
        <v>381.94150560261517</v>
      </c>
      <c r="J85" s="345">
        <f t="shared" si="25"/>
        <v>5.2623308312643289</v>
      </c>
      <c r="K85" s="345">
        <f t="shared" si="25"/>
        <v>0</v>
      </c>
      <c r="L85" s="345">
        <f t="shared" si="25"/>
        <v>0</v>
      </c>
      <c r="M85" s="345">
        <f t="shared" si="25"/>
        <v>387.20383643387953</v>
      </c>
      <c r="N85" s="345">
        <f t="shared" si="25"/>
        <v>387.20383643387953</v>
      </c>
      <c r="O85" s="345">
        <f t="shared" si="25"/>
        <v>6.1066129787643355</v>
      </c>
      <c r="P85" s="345">
        <f t="shared" si="25"/>
        <v>0</v>
      </c>
      <c r="Q85" s="345">
        <f t="shared" si="25"/>
        <v>0</v>
      </c>
      <c r="R85" s="345">
        <f t="shared" si="25"/>
        <v>393.31044941264383</v>
      </c>
      <c r="S85" s="345">
        <f t="shared" si="25"/>
        <v>393.31044941264383</v>
      </c>
      <c r="T85" s="345">
        <f t="shared" si="25"/>
        <v>5.7208392266675645</v>
      </c>
      <c r="U85" s="345">
        <f t="shared" si="25"/>
        <v>0</v>
      </c>
      <c r="V85" s="345">
        <f t="shared" si="25"/>
        <v>0</v>
      </c>
      <c r="W85" s="345">
        <f t="shared" si="25"/>
        <v>399.03128863931147</v>
      </c>
    </row>
    <row r="86" spans="1:33" ht="16" x14ac:dyDescent="0.3">
      <c r="A86" s="442"/>
      <c r="B86" s="258"/>
      <c r="C86" s="260" t="s">
        <v>812</v>
      </c>
      <c r="D86" s="459"/>
      <c r="E86" s="460">
        <v>3</v>
      </c>
      <c r="F86" s="459">
        <f>E85-F85</f>
        <v>9.0960260568930131</v>
      </c>
      <c r="G86" s="459"/>
      <c r="H86" s="459"/>
      <c r="I86" s="461"/>
      <c r="J86" s="460">
        <f>E86-1</f>
        <v>2</v>
      </c>
      <c r="K86" s="461"/>
      <c r="L86" s="461"/>
      <c r="M86" s="461"/>
      <c r="N86" s="459"/>
      <c r="O86" s="460">
        <f>J86-1</f>
        <v>1</v>
      </c>
      <c r="P86" s="459"/>
      <c r="Q86" s="459"/>
      <c r="R86" s="459"/>
      <c r="S86" s="461"/>
      <c r="T86" s="460">
        <f>O86-1</f>
        <v>0</v>
      </c>
      <c r="U86" s="461"/>
      <c r="V86" s="461"/>
      <c r="W86" s="461"/>
      <c r="X86" s="43"/>
      <c r="Y86" s="43"/>
      <c r="Z86" s="43"/>
      <c r="AA86" s="43"/>
      <c r="AB86" s="43"/>
      <c r="AC86" s="43"/>
      <c r="AD86" s="43"/>
      <c r="AE86" s="43"/>
      <c r="AF86" s="43"/>
      <c r="AG86" s="43"/>
    </row>
    <row r="87" spans="1:33" ht="16" x14ac:dyDescent="0.3">
      <c r="A87" s="442"/>
      <c r="B87" s="257" t="s">
        <v>598</v>
      </c>
      <c r="C87" s="261"/>
      <c r="D87" s="262"/>
      <c r="E87" s="262"/>
      <c r="F87" s="262"/>
      <c r="G87" s="262"/>
      <c r="H87" s="262"/>
      <c r="I87" s="263"/>
      <c r="J87" s="263"/>
      <c r="K87" s="258"/>
      <c r="L87" s="258"/>
      <c r="M87" s="258"/>
      <c r="N87" s="258"/>
      <c r="O87" s="258"/>
      <c r="P87" s="258"/>
      <c r="Q87" s="258"/>
      <c r="R87" s="258"/>
      <c r="S87" s="43"/>
      <c r="T87" s="43"/>
      <c r="U87" s="43"/>
      <c r="V87" s="43"/>
      <c r="W87" s="43"/>
      <c r="X87" s="43"/>
      <c r="Y87" s="43"/>
      <c r="Z87" s="43"/>
      <c r="AA87" s="43"/>
      <c r="AB87" s="43"/>
      <c r="AC87" s="43"/>
      <c r="AD87" s="43"/>
      <c r="AE87" s="43"/>
      <c r="AF87" s="43"/>
      <c r="AG87" s="43"/>
    </row>
    <row r="88" spans="1:33" ht="16" x14ac:dyDescent="0.3">
      <c r="A88" s="442"/>
      <c r="B88" s="257" t="s">
        <v>716</v>
      </c>
      <c r="C88" s="261"/>
      <c r="D88" s="262"/>
      <c r="E88" s="262"/>
      <c r="F88" s="262"/>
      <c r="G88" s="262"/>
      <c r="H88" s="262"/>
      <c r="I88" s="263"/>
      <c r="J88" s="263"/>
      <c r="K88" s="258"/>
      <c r="L88" s="258"/>
      <c r="M88" s="258"/>
      <c r="N88" s="258"/>
      <c r="O88" s="258"/>
      <c r="P88" s="258"/>
      <c r="Q88" s="258"/>
      <c r="R88" s="258"/>
      <c r="S88" s="43"/>
      <c r="T88" s="43"/>
      <c r="U88" s="43"/>
      <c r="V88" s="43"/>
      <c r="W88" s="43"/>
      <c r="X88" s="43"/>
      <c r="Y88" s="43"/>
      <c r="Z88" s="43"/>
      <c r="AA88" s="43"/>
      <c r="AB88" s="43"/>
      <c r="AC88" s="43"/>
      <c r="AD88" s="43"/>
      <c r="AE88" s="43"/>
      <c r="AF88" s="43"/>
      <c r="AG88" s="43"/>
    </row>
    <row r="89" spans="1:33" ht="15" customHeight="1" x14ac:dyDescent="0.3">
      <c r="A89" s="442"/>
      <c r="B89" s="258"/>
      <c r="C89" s="260"/>
      <c r="D89" s="260"/>
      <c r="E89" s="260"/>
      <c r="F89" s="260"/>
      <c r="G89" s="260"/>
      <c r="H89" s="260"/>
      <c r="I89" s="258"/>
      <c r="J89" s="258"/>
      <c r="K89" s="258"/>
      <c r="L89" s="258"/>
      <c r="M89" s="258"/>
      <c r="N89" s="258"/>
      <c r="O89" s="258"/>
      <c r="P89" s="258"/>
      <c r="Q89" s="258"/>
      <c r="R89" s="258"/>
    </row>
    <row r="90" spans="1:33" ht="16" x14ac:dyDescent="0.3">
      <c r="A90" s="442"/>
      <c r="B90" s="258"/>
      <c r="C90" s="260"/>
      <c r="D90" s="8"/>
      <c r="E90" s="8"/>
      <c r="F90" s="8"/>
      <c r="G90" s="8"/>
      <c r="H90" s="8"/>
      <c r="I90" s="1"/>
      <c r="J90" s="42"/>
      <c r="K90" s="1"/>
      <c r="L90" s="1"/>
      <c r="M90" s="42"/>
      <c r="N90" s="42"/>
      <c r="O90" s="1"/>
      <c r="P90" s="1"/>
      <c r="Q90" s="1"/>
      <c r="AG90" s="255" t="s">
        <v>10</v>
      </c>
    </row>
    <row r="91" spans="1:33" ht="13.75" customHeight="1" x14ac:dyDescent="0.3">
      <c r="A91" s="442"/>
      <c r="B91" s="1639" t="s">
        <v>340</v>
      </c>
      <c r="C91" s="1639" t="s">
        <v>38</v>
      </c>
      <c r="D91" s="1766" t="s">
        <v>1068</v>
      </c>
      <c r="E91" s="1767"/>
      <c r="F91" s="1767"/>
      <c r="G91" s="1767"/>
      <c r="H91" s="1768"/>
      <c r="I91" s="1766" t="s">
        <v>1069</v>
      </c>
      <c r="J91" s="1767"/>
      <c r="K91" s="1767"/>
      <c r="L91" s="1767"/>
      <c r="M91" s="1768"/>
      <c r="N91" s="1758" t="s">
        <v>1070</v>
      </c>
      <c r="O91" s="1758"/>
      <c r="P91" s="1758"/>
      <c r="Q91" s="1758"/>
      <c r="R91" s="1758"/>
      <c r="S91" s="1758" t="s">
        <v>1071</v>
      </c>
      <c r="T91" s="1758"/>
      <c r="U91" s="1758"/>
      <c r="V91" s="1758"/>
      <c r="W91" s="1758"/>
    </row>
    <row r="92" spans="1:33" x14ac:dyDescent="0.3">
      <c r="A92" s="442"/>
      <c r="B92" s="1639"/>
      <c r="C92" s="1639"/>
      <c r="D92" s="1759" t="s">
        <v>21</v>
      </c>
      <c r="E92" s="1760"/>
      <c r="F92" s="1760"/>
      <c r="G92" s="1760"/>
      <c r="H92" s="1761"/>
      <c r="I92" s="1759" t="s">
        <v>21</v>
      </c>
      <c r="J92" s="1760"/>
      <c r="K92" s="1760"/>
      <c r="L92" s="1760"/>
      <c r="M92" s="1761"/>
      <c r="N92" s="1762" t="s">
        <v>21</v>
      </c>
      <c r="O92" s="1763"/>
      <c r="P92" s="1763"/>
      <c r="Q92" s="1763"/>
      <c r="R92" s="1763"/>
      <c r="S92" s="1762" t="s">
        <v>21</v>
      </c>
      <c r="T92" s="1763"/>
      <c r="U92" s="1763"/>
      <c r="V92" s="1763"/>
      <c r="W92" s="1763"/>
    </row>
    <row r="93" spans="1:33" ht="56" x14ac:dyDescent="0.3">
      <c r="A93" s="442"/>
      <c r="B93" s="1639"/>
      <c r="C93" s="1639"/>
      <c r="D93" s="1030" t="s">
        <v>273</v>
      </c>
      <c r="E93" s="1030" t="s">
        <v>268</v>
      </c>
      <c r="F93" s="259" t="s">
        <v>274</v>
      </c>
      <c r="G93" s="1024" t="s">
        <v>586</v>
      </c>
      <c r="H93" s="1030" t="s">
        <v>275</v>
      </c>
      <c r="I93" s="1030" t="s">
        <v>267</v>
      </c>
      <c r="J93" s="1030" t="s">
        <v>268</v>
      </c>
      <c r="K93" s="1030" t="s">
        <v>269</v>
      </c>
      <c r="L93" s="1024" t="s">
        <v>586</v>
      </c>
      <c r="M93" s="1030" t="s">
        <v>270</v>
      </c>
      <c r="N93" s="1030" t="s">
        <v>267</v>
      </c>
      <c r="O93" s="1030" t="s">
        <v>268</v>
      </c>
      <c r="P93" s="1030" t="s">
        <v>269</v>
      </c>
      <c r="Q93" s="1024" t="s">
        <v>586</v>
      </c>
      <c r="R93" s="1030" t="s">
        <v>270</v>
      </c>
      <c r="S93" s="1030" t="s">
        <v>267</v>
      </c>
      <c r="T93" s="1030" t="s">
        <v>268</v>
      </c>
      <c r="U93" s="1030" t="s">
        <v>269</v>
      </c>
      <c r="V93" s="1024" t="s">
        <v>586</v>
      </c>
      <c r="W93" s="1030" t="s">
        <v>270</v>
      </c>
    </row>
    <row r="94" spans="1:33" ht="28" x14ac:dyDescent="0.3">
      <c r="A94" s="442"/>
      <c r="B94" s="256"/>
      <c r="C94" s="256"/>
      <c r="D94" s="256" t="s">
        <v>662</v>
      </c>
      <c r="E94" s="256" t="s">
        <v>663</v>
      </c>
      <c r="F94" s="256" t="s">
        <v>664</v>
      </c>
      <c r="G94" s="256" t="s">
        <v>665</v>
      </c>
      <c r="H94" s="256" t="s">
        <v>666</v>
      </c>
      <c r="I94" s="256" t="s">
        <v>662</v>
      </c>
      <c r="J94" s="256" t="s">
        <v>663</v>
      </c>
      <c r="K94" s="256" t="s">
        <v>664</v>
      </c>
      <c r="L94" s="256" t="s">
        <v>665</v>
      </c>
      <c r="M94" s="256" t="s">
        <v>666</v>
      </c>
      <c r="N94" s="256" t="s">
        <v>662</v>
      </c>
      <c r="O94" s="256" t="s">
        <v>663</v>
      </c>
      <c r="P94" s="256" t="s">
        <v>664</v>
      </c>
      <c r="Q94" s="256" t="s">
        <v>665</v>
      </c>
      <c r="R94" s="256" t="s">
        <v>666</v>
      </c>
      <c r="S94" s="256" t="s">
        <v>662</v>
      </c>
      <c r="T94" s="256" t="s">
        <v>663</v>
      </c>
      <c r="U94" s="256" t="s">
        <v>664</v>
      </c>
      <c r="V94" s="256" t="s">
        <v>665</v>
      </c>
      <c r="W94" s="256" t="s">
        <v>666</v>
      </c>
    </row>
    <row r="95" spans="1:33" x14ac:dyDescent="0.3">
      <c r="A95" s="441">
        <f>A68</f>
        <v>0</v>
      </c>
      <c r="B95" s="90">
        <v>1</v>
      </c>
      <c r="C95" s="432" t="s">
        <v>845</v>
      </c>
      <c r="D95" s="343">
        <f t="shared" ref="D95:D111" si="26">W68</f>
        <v>0</v>
      </c>
      <c r="E95" s="637">
        <f>'F5'!E95+'F5.1 (N)'!J42</f>
        <v>0</v>
      </c>
      <c r="F95" s="637">
        <f>'F5'!F95+'F5.1 (N)'!K42</f>
        <v>0</v>
      </c>
      <c r="G95" s="637">
        <f>'F5'!G95+'F5.1 (N)'!L42</f>
        <v>0</v>
      </c>
      <c r="H95" s="343">
        <f>D95+E95-F95-G95</f>
        <v>0</v>
      </c>
      <c r="I95" s="428">
        <f>H95</f>
        <v>0</v>
      </c>
      <c r="J95" s="451">
        <f>'F5'!J95+'F5.1 (N)'!O42</f>
        <v>0</v>
      </c>
      <c r="K95" s="451">
        <f>'F5'!K95+'F5.1 (N)'!P42</f>
        <v>0</v>
      </c>
      <c r="L95" s="451">
        <f>'F5'!L95+'F5.1 (N)'!Q42</f>
        <v>0</v>
      </c>
      <c r="M95" s="428">
        <f>I95+J95-K95-L95</f>
        <v>0</v>
      </c>
      <c r="N95" s="428">
        <f>M95</f>
        <v>0</v>
      </c>
      <c r="O95" s="451">
        <f>'F5'!O95+'F5.1 (N)'!T42</f>
        <v>0</v>
      </c>
      <c r="P95" s="451">
        <f>'F5'!P95+'F5.1 (N)'!U42</f>
        <v>0</v>
      </c>
      <c r="Q95" s="451">
        <f>'F5'!Q95+'F5.1 (N)'!V42</f>
        <v>0</v>
      </c>
      <c r="R95" s="428">
        <f>N95+O95-P95-Q95</f>
        <v>0</v>
      </c>
      <c r="S95" s="428">
        <f>R95</f>
        <v>0</v>
      </c>
      <c r="T95" s="451">
        <f>'F5'!T95+'F5.1 (N)'!Y42</f>
        <v>0</v>
      </c>
      <c r="U95" s="451">
        <f>'F5'!U95+'F5.1 (N)'!Z42</f>
        <v>0</v>
      </c>
      <c r="V95" s="451">
        <f>'F5'!V95+'F5.1 (N)'!AA42</f>
        <v>0</v>
      </c>
      <c r="W95" s="428">
        <f>S95+T95-U95-V95</f>
        <v>0</v>
      </c>
    </row>
    <row r="96" spans="1:33" x14ac:dyDescent="0.3">
      <c r="A96" s="441">
        <f t="shared" ref="A96:A111" si="27">A69</f>
        <v>3.3399999999999999E-2</v>
      </c>
      <c r="B96" s="90">
        <f>B95+1</f>
        <v>2</v>
      </c>
      <c r="C96" s="432" t="s">
        <v>846</v>
      </c>
      <c r="D96" s="343">
        <f t="shared" si="26"/>
        <v>16.654029575430439</v>
      </c>
      <c r="E96" s="637">
        <f>'F5'!E96+'F5.1 (N)'!J43</f>
        <v>9.2653402177322874E-3</v>
      </c>
      <c r="F96" s="637">
        <f>'F5'!F96+'F5.1 (N)'!K43</f>
        <v>0</v>
      </c>
      <c r="G96" s="637">
        <f>'F5'!G96+'F5.1 (N)'!L43</f>
        <v>0</v>
      </c>
      <c r="H96" s="343">
        <f t="shared" ref="H96:H111" si="28">D96+E96-F96-G96</f>
        <v>16.663294915648173</v>
      </c>
      <c r="I96" s="428">
        <f t="shared" ref="I96:I111" si="29">H96</f>
        <v>16.663294915648173</v>
      </c>
      <c r="J96" s="451">
        <f>'F5'!J96+'F5.1 (N)'!O43</f>
        <v>9.2653402177316959E-3</v>
      </c>
      <c r="K96" s="451">
        <f>'F5'!K96+'F5.1 (N)'!P43</f>
        <v>0</v>
      </c>
      <c r="L96" s="451">
        <f>'F5'!L96+'F5.1 (N)'!Q43</f>
        <v>0</v>
      </c>
      <c r="M96" s="428">
        <f t="shared" ref="M96:M111" si="30">I96+J96-K96-L96</f>
        <v>16.672560255865903</v>
      </c>
      <c r="N96" s="428">
        <f t="shared" ref="N96:N111" si="31">M96</f>
        <v>16.672560255865903</v>
      </c>
      <c r="O96" s="451">
        <f>'F5'!O96+'F5.1 (N)'!T43</f>
        <v>9.2653402177322874E-3</v>
      </c>
      <c r="P96" s="451">
        <f>'F5'!P96+'F5.1 (N)'!U43</f>
        <v>0</v>
      </c>
      <c r="Q96" s="451">
        <f>'F5'!Q96+'F5.1 (N)'!V43</f>
        <v>0</v>
      </c>
      <c r="R96" s="428">
        <f t="shared" ref="R96:R111" si="32">N96+O96-P96-Q96</f>
        <v>16.681825596083634</v>
      </c>
      <c r="S96" s="428">
        <f t="shared" ref="S96:S111" si="33">R96</f>
        <v>16.681825596083634</v>
      </c>
      <c r="T96" s="451">
        <f>'F5'!T96+'F5.1 (N)'!Y43</f>
        <v>9.2653402177340638E-3</v>
      </c>
      <c r="U96" s="451">
        <f>'F5'!U96+'F5.1 (N)'!Z43</f>
        <v>0</v>
      </c>
      <c r="V96" s="451">
        <f>'F5'!V96+'F5.1 (N)'!AA43</f>
        <v>0</v>
      </c>
      <c r="W96" s="428">
        <f t="shared" ref="W96:W111" si="34">S96+T96-U96-V96</f>
        <v>16.691090936301368</v>
      </c>
    </row>
    <row r="97" spans="1:23" x14ac:dyDescent="0.3">
      <c r="A97" s="441">
        <f t="shared" si="27"/>
        <v>5.28E-2</v>
      </c>
      <c r="B97" s="90">
        <f t="shared" ref="B97:B111" si="35">B96+1</f>
        <v>3</v>
      </c>
      <c r="C97" s="432" t="s">
        <v>847</v>
      </c>
      <c r="D97" s="343">
        <f t="shared" si="26"/>
        <v>0</v>
      </c>
      <c r="E97" s="637">
        <f>'F5'!E97+'F5.1 (N)'!J44</f>
        <v>0</v>
      </c>
      <c r="F97" s="637">
        <f>'F5'!F97+'F5.1 (N)'!K44</f>
        <v>0</v>
      </c>
      <c r="G97" s="637">
        <f>'F5'!G97+'F5.1 (N)'!L44</f>
        <v>0</v>
      </c>
      <c r="H97" s="343">
        <f t="shared" si="28"/>
        <v>0</v>
      </c>
      <c r="I97" s="428">
        <f t="shared" si="29"/>
        <v>0</v>
      </c>
      <c r="J97" s="451">
        <f>'F5'!J97+'F5.1 (N)'!O44</f>
        <v>0</v>
      </c>
      <c r="K97" s="451">
        <f>'F5'!K97+'F5.1 (N)'!P44</f>
        <v>0</v>
      </c>
      <c r="L97" s="451">
        <f>'F5'!L97+'F5.1 (N)'!Q44</f>
        <v>0</v>
      </c>
      <c r="M97" s="428">
        <f t="shared" si="30"/>
        <v>0</v>
      </c>
      <c r="N97" s="428">
        <f t="shared" si="31"/>
        <v>0</v>
      </c>
      <c r="O97" s="451">
        <f>'F5'!O97+'F5.1 (N)'!T44</f>
        <v>0</v>
      </c>
      <c r="P97" s="451">
        <f>'F5'!P97+'F5.1 (N)'!U44</f>
        <v>0</v>
      </c>
      <c r="Q97" s="451">
        <f>'F5'!Q97+'F5.1 (N)'!V44</f>
        <v>0</v>
      </c>
      <c r="R97" s="428">
        <f t="shared" si="32"/>
        <v>0</v>
      </c>
      <c r="S97" s="428">
        <f t="shared" si="33"/>
        <v>0</v>
      </c>
      <c r="T97" s="451">
        <f>'F5'!T97+'F5.1 (N)'!Y44</f>
        <v>0</v>
      </c>
      <c r="U97" s="451">
        <f>'F5'!U97+'F5.1 (N)'!Z44</f>
        <v>0</v>
      </c>
      <c r="V97" s="451">
        <f>'F5'!V97+'F5.1 (N)'!AA44</f>
        <v>0</v>
      </c>
      <c r="W97" s="428">
        <f t="shared" si="34"/>
        <v>0</v>
      </c>
    </row>
    <row r="98" spans="1:23" x14ac:dyDescent="0.3">
      <c r="A98" s="441">
        <f t="shared" si="27"/>
        <v>5.28E-2</v>
      </c>
      <c r="B98" s="90">
        <f t="shared" si="35"/>
        <v>4</v>
      </c>
      <c r="C98" s="432" t="s">
        <v>848</v>
      </c>
      <c r="D98" s="343">
        <f t="shared" si="26"/>
        <v>60.667206601099942</v>
      </c>
      <c r="E98" s="637">
        <f>'F5'!E98+'F5.1 (N)'!J45</f>
        <v>0.15404527472501783</v>
      </c>
      <c r="F98" s="637">
        <f>'F5'!F98+'F5.1 (N)'!K45</f>
        <v>0</v>
      </c>
      <c r="G98" s="637">
        <f>'F5'!G98+'F5.1 (N)'!L45</f>
        <v>0</v>
      </c>
      <c r="H98" s="343">
        <f t="shared" si="28"/>
        <v>60.821251875824956</v>
      </c>
      <c r="I98" s="428">
        <f t="shared" si="29"/>
        <v>60.821251875824956</v>
      </c>
      <c r="J98" s="451">
        <f>'F5'!J98+'F5.1 (N)'!O45</f>
        <v>0.15404527472501903</v>
      </c>
      <c r="K98" s="451">
        <f>'F5'!K98+'F5.1 (N)'!P45</f>
        <v>0</v>
      </c>
      <c r="L98" s="451">
        <f>'F5'!L98+'F5.1 (N)'!Q45</f>
        <v>0</v>
      </c>
      <c r="M98" s="428">
        <f t="shared" si="30"/>
        <v>60.975297150549977</v>
      </c>
      <c r="N98" s="428">
        <f t="shared" si="31"/>
        <v>60.975297150549977</v>
      </c>
      <c r="O98" s="451">
        <f>'F5'!O98+'F5.1 (N)'!T45</f>
        <v>0.15404527472501783</v>
      </c>
      <c r="P98" s="451">
        <f>'F5'!P98+'F5.1 (N)'!U45</f>
        <v>0</v>
      </c>
      <c r="Q98" s="451">
        <f>'F5'!Q98+'F5.1 (N)'!V45</f>
        <v>0</v>
      </c>
      <c r="R98" s="428">
        <f t="shared" si="32"/>
        <v>61.129342425274999</v>
      </c>
      <c r="S98" s="428">
        <f t="shared" si="33"/>
        <v>61.129342425274999</v>
      </c>
      <c r="T98" s="451">
        <f>'F5'!T98+'F5.1 (N)'!Y45</f>
        <v>0.15404527472501428</v>
      </c>
      <c r="U98" s="451">
        <f>'F5'!U98+'F5.1 (N)'!Z45</f>
        <v>0</v>
      </c>
      <c r="V98" s="451">
        <f>'F5'!V98+'F5.1 (N)'!AA45</f>
        <v>0</v>
      </c>
      <c r="W98" s="428">
        <f t="shared" si="34"/>
        <v>61.283387700000013</v>
      </c>
    </row>
    <row r="99" spans="1:23" x14ac:dyDescent="0.3">
      <c r="A99" s="441">
        <f t="shared" si="27"/>
        <v>3.3399999999999999E-2</v>
      </c>
      <c r="B99" s="90">
        <f t="shared" si="35"/>
        <v>5</v>
      </c>
      <c r="C99" s="432" t="s">
        <v>849</v>
      </c>
      <c r="D99" s="343">
        <f t="shared" si="26"/>
        <v>63.707903056786535</v>
      </c>
      <c r="E99" s="637">
        <f>'F5'!E99+'F5.1 (N)'!J46</f>
        <v>4.7579953858033672</v>
      </c>
      <c r="F99" s="637">
        <f>'F5'!F99+'F5.1 (N)'!K46</f>
        <v>0</v>
      </c>
      <c r="G99" s="637">
        <f>'F5'!G99+'F5.1 (N)'!L46</f>
        <v>0</v>
      </c>
      <c r="H99" s="343">
        <f t="shared" si="28"/>
        <v>68.465898442589904</v>
      </c>
      <c r="I99" s="428">
        <f t="shared" si="29"/>
        <v>68.465898442589904</v>
      </c>
      <c r="J99" s="451">
        <f>'F5'!J99+'F5.1 (N)'!O46</f>
        <v>6.4196453858033653</v>
      </c>
      <c r="K99" s="451">
        <f>'F5'!K99+'F5.1 (N)'!P46</f>
        <v>0</v>
      </c>
      <c r="L99" s="451">
        <f>'F5'!L99+'F5.1 (N)'!Q46</f>
        <v>0</v>
      </c>
      <c r="M99" s="428">
        <f t="shared" si="30"/>
        <v>74.885543828393267</v>
      </c>
      <c r="N99" s="428">
        <f t="shared" si="31"/>
        <v>74.885543828393267</v>
      </c>
      <c r="O99" s="451">
        <f>'F5'!O99+'F5.1 (N)'!T46</f>
        <v>6.4196453858033671</v>
      </c>
      <c r="P99" s="451">
        <f>'F5'!P99+'F5.1 (N)'!U46</f>
        <v>0</v>
      </c>
      <c r="Q99" s="451">
        <f>'F5'!Q99+'F5.1 (N)'!V46</f>
        <v>0</v>
      </c>
      <c r="R99" s="428">
        <f t="shared" si="32"/>
        <v>81.305189214196631</v>
      </c>
      <c r="S99" s="428">
        <f t="shared" si="33"/>
        <v>81.305189214196631</v>
      </c>
      <c r="T99" s="451">
        <f>'F5'!T99+'F5.1 (N)'!Y46</f>
        <v>6.4196453858033742</v>
      </c>
      <c r="U99" s="451">
        <f>'F5'!U99+'F5.1 (N)'!Z46</f>
        <v>0</v>
      </c>
      <c r="V99" s="451">
        <f>'F5'!V99+'F5.1 (N)'!AA46</f>
        <v>0</v>
      </c>
      <c r="W99" s="428">
        <f t="shared" si="34"/>
        <v>87.724834600000008</v>
      </c>
    </row>
    <row r="100" spans="1:23" x14ac:dyDescent="0.3">
      <c r="A100" s="441">
        <f t="shared" si="27"/>
        <v>5.28E-2</v>
      </c>
      <c r="B100" s="90">
        <f t="shared" si="35"/>
        <v>6</v>
      </c>
      <c r="C100" s="432" t="s">
        <v>256</v>
      </c>
      <c r="D100" s="343">
        <f t="shared" si="26"/>
        <v>251.86652789772828</v>
      </c>
      <c r="E100" s="637">
        <f>'F5'!E100+'F5.1 (N)'!J47</f>
        <v>2.2837923362344341</v>
      </c>
      <c r="F100" s="637">
        <f>'F5'!F100+'F5.1 (N)'!K47</f>
        <v>0</v>
      </c>
      <c r="G100" s="637">
        <f>'F5'!G100+'F5.1 (N)'!L47</f>
        <v>0</v>
      </c>
      <c r="H100" s="343">
        <f t="shared" si="28"/>
        <v>254.1503202339627</v>
      </c>
      <c r="I100" s="428">
        <f t="shared" si="29"/>
        <v>254.1503202339627</v>
      </c>
      <c r="J100" s="451">
        <f>'F5'!J100+'F5.1 (N)'!O47</f>
        <v>2.2837923362344363</v>
      </c>
      <c r="K100" s="451">
        <f>'F5'!K100+'F5.1 (N)'!P47</f>
        <v>0</v>
      </c>
      <c r="L100" s="451">
        <f>'F5'!L100+'F5.1 (N)'!Q47</f>
        <v>0</v>
      </c>
      <c r="M100" s="428">
        <f t="shared" si="30"/>
        <v>256.43411257019716</v>
      </c>
      <c r="N100" s="428">
        <f t="shared" si="31"/>
        <v>256.43411257019716</v>
      </c>
      <c r="O100" s="451">
        <f>'F5'!O100+'F5.1 (N)'!T47</f>
        <v>2.283792336234427</v>
      </c>
      <c r="P100" s="451">
        <f>'F5'!P100+'F5.1 (N)'!U47</f>
        <v>0</v>
      </c>
      <c r="Q100" s="451">
        <f>'F5'!Q100+'F5.1 (N)'!V47</f>
        <v>0</v>
      </c>
      <c r="R100" s="428">
        <f t="shared" si="32"/>
        <v>258.71790490643161</v>
      </c>
      <c r="S100" s="428">
        <f t="shared" si="33"/>
        <v>258.71790490643161</v>
      </c>
      <c r="T100" s="451">
        <f>'F5'!T100+'F5.1 (N)'!Y47</f>
        <v>2.2837923362343986</v>
      </c>
      <c r="U100" s="451">
        <f>'F5'!U100+'F5.1 (N)'!Z47</f>
        <v>0</v>
      </c>
      <c r="V100" s="451">
        <f>'F5'!V100+'F5.1 (N)'!AA47</f>
        <v>0</v>
      </c>
      <c r="W100" s="428">
        <f t="shared" si="34"/>
        <v>261.00169724266601</v>
      </c>
    </row>
    <row r="101" spans="1:23" x14ac:dyDescent="0.3">
      <c r="A101" s="441">
        <f t="shared" si="27"/>
        <v>0.18</v>
      </c>
      <c r="B101" s="90">
        <f t="shared" si="35"/>
        <v>7</v>
      </c>
      <c r="C101" s="432" t="s">
        <v>850</v>
      </c>
      <c r="D101" s="343">
        <f t="shared" si="26"/>
        <v>1.9933150816368788</v>
      </c>
      <c r="E101" s="637">
        <f>'F5'!E101+'F5.1 (N)'!J48</f>
        <v>6.4446321153019681E-2</v>
      </c>
      <c r="F101" s="637">
        <f>'F5'!F101+'F5.1 (N)'!K48</f>
        <v>0</v>
      </c>
      <c r="G101" s="637">
        <f>'F5'!G101+'F5.1 (N)'!L48</f>
        <v>0</v>
      </c>
      <c r="H101" s="343">
        <f t="shared" si="28"/>
        <v>2.0577614027898985</v>
      </c>
      <c r="I101" s="428">
        <f t="shared" si="29"/>
        <v>2.0577614027898985</v>
      </c>
      <c r="J101" s="451">
        <f>'F5'!J101+'F5.1 (N)'!O48</f>
        <v>6.4446321153019667E-2</v>
      </c>
      <c r="K101" s="451">
        <f>'F5'!K101+'F5.1 (N)'!P48</f>
        <v>0</v>
      </c>
      <c r="L101" s="451">
        <f>'F5'!L101+'F5.1 (N)'!Q48</f>
        <v>0</v>
      </c>
      <c r="M101" s="428">
        <f t="shared" si="30"/>
        <v>2.122207723942918</v>
      </c>
      <c r="N101" s="428">
        <f t="shared" si="31"/>
        <v>2.122207723942918</v>
      </c>
      <c r="O101" s="451">
        <f>'F5'!O101+'F5.1 (N)'!T48</f>
        <v>6.4446321153019737E-2</v>
      </c>
      <c r="P101" s="451">
        <f>'F5'!P101+'F5.1 (N)'!U48</f>
        <v>0</v>
      </c>
      <c r="Q101" s="451">
        <f>'F5'!Q101+'F5.1 (N)'!V48</f>
        <v>0</v>
      </c>
      <c r="R101" s="428">
        <f t="shared" si="32"/>
        <v>2.1866540450959375</v>
      </c>
      <c r="S101" s="428">
        <f t="shared" si="33"/>
        <v>2.1866540450959375</v>
      </c>
      <c r="T101" s="451">
        <f>'F5'!T101+'F5.1 (N)'!Y48</f>
        <v>6.4446321153019959E-2</v>
      </c>
      <c r="U101" s="451">
        <f>'F5'!U101+'F5.1 (N)'!Z48</f>
        <v>0</v>
      </c>
      <c r="V101" s="451">
        <f>'F5'!V101+'F5.1 (N)'!AA48</f>
        <v>0</v>
      </c>
      <c r="W101" s="428">
        <f t="shared" si="34"/>
        <v>2.2511003662489575</v>
      </c>
    </row>
    <row r="102" spans="1:23" x14ac:dyDescent="0.3">
      <c r="A102" s="441">
        <f t="shared" si="27"/>
        <v>5.28E-2</v>
      </c>
      <c r="B102" s="90">
        <f t="shared" si="35"/>
        <v>8</v>
      </c>
      <c r="C102" s="432" t="s">
        <v>851</v>
      </c>
      <c r="D102" s="343">
        <f t="shared" si="26"/>
        <v>1.784008192528265E-2</v>
      </c>
      <c r="E102" s="637">
        <f>'F5'!E102+'F5.1 (N)'!J49</f>
        <v>3.2436512591423002E-3</v>
      </c>
      <c r="F102" s="637">
        <f>'F5'!F102+'F5.1 (N)'!K49</f>
        <v>0</v>
      </c>
      <c r="G102" s="637">
        <f>'F5'!G102+'F5.1 (N)'!L49</f>
        <v>0</v>
      </c>
      <c r="H102" s="343">
        <f t="shared" si="28"/>
        <v>2.1083733184424951E-2</v>
      </c>
      <c r="I102" s="428">
        <f t="shared" si="29"/>
        <v>2.1083733184424951E-2</v>
      </c>
      <c r="J102" s="451">
        <f>'F5'!J102+'F5.1 (N)'!O49</f>
        <v>3.2436512591423002E-3</v>
      </c>
      <c r="K102" s="451">
        <f>'F5'!K102+'F5.1 (N)'!P49</f>
        <v>0</v>
      </c>
      <c r="L102" s="451">
        <f>'F5'!L102+'F5.1 (N)'!Q49</f>
        <v>0</v>
      </c>
      <c r="M102" s="428">
        <f t="shared" si="30"/>
        <v>2.4327384443567253E-2</v>
      </c>
      <c r="N102" s="428">
        <f t="shared" si="31"/>
        <v>2.4327384443567253E-2</v>
      </c>
      <c r="O102" s="451">
        <f>'F5'!O102+'F5.1 (N)'!T49</f>
        <v>3.2436512591423002E-3</v>
      </c>
      <c r="P102" s="451">
        <f>'F5'!P102+'F5.1 (N)'!U49</f>
        <v>0</v>
      </c>
      <c r="Q102" s="451">
        <f>'F5'!Q102+'F5.1 (N)'!V49</f>
        <v>0</v>
      </c>
      <c r="R102" s="428">
        <f t="shared" si="32"/>
        <v>2.7571035702709554E-2</v>
      </c>
      <c r="S102" s="428">
        <f t="shared" si="33"/>
        <v>2.7571035702709554E-2</v>
      </c>
      <c r="T102" s="451">
        <f>'F5'!T102+'F5.1 (N)'!Y49</f>
        <v>3.2436512591423002E-3</v>
      </c>
      <c r="U102" s="451">
        <f>'F5'!U102+'F5.1 (N)'!Z49</f>
        <v>0</v>
      </c>
      <c r="V102" s="451">
        <f>'F5'!V102+'F5.1 (N)'!AA49</f>
        <v>0</v>
      </c>
      <c r="W102" s="428">
        <f t="shared" si="34"/>
        <v>3.0814686961851856E-2</v>
      </c>
    </row>
    <row r="103" spans="1:23" x14ac:dyDescent="0.3">
      <c r="A103" s="441">
        <f t="shared" si="27"/>
        <v>5.28E-2</v>
      </c>
      <c r="B103" s="90">
        <f t="shared" si="35"/>
        <v>9</v>
      </c>
      <c r="C103" s="432" t="s">
        <v>852</v>
      </c>
      <c r="D103" s="343">
        <f t="shared" si="26"/>
        <v>0.3910440176002814</v>
      </c>
      <c r="E103" s="637">
        <f>'F5'!E103+'F5.1 (N)'!J50</f>
        <v>0</v>
      </c>
      <c r="F103" s="637">
        <f>'F5'!F103+'F5.1 (N)'!K50</f>
        <v>0</v>
      </c>
      <c r="G103" s="637">
        <f>'F5'!G103+'F5.1 (N)'!L50</f>
        <v>0</v>
      </c>
      <c r="H103" s="343">
        <f t="shared" si="28"/>
        <v>0.3910440176002814</v>
      </c>
      <c r="I103" s="428">
        <f t="shared" si="29"/>
        <v>0.3910440176002814</v>
      </c>
      <c r="J103" s="451">
        <f>'F5'!J103+'F5.1 (N)'!O50</f>
        <v>0</v>
      </c>
      <c r="K103" s="451">
        <f>'F5'!K103+'F5.1 (N)'!P50</f>
        <v>0</v>
      </c>
      <c r="L103" s="451">
        <f>'F5'!L103+'F5.1 (N)'!Q50</f>
        <v>0</v>
      </c>
      <c r="M103" s="428">
        <f t="shared" si="30"/>
        <v>0.3910440176002814</v>
      </c>
      <c r="N103" s="428">
        <f t="shared" si="31"/>
        <v>0.3910440176002814</v>
      </c>
      <c r="O103" s="451">
        <f>'F5'!O103+'F5.1 (N)'!T50</f>
        <v>0</v>
      </c>
      <c r="P103" s="451">
        <f>'F5'!P103+'F5.1 (N)'!U50</f>
        <v>0</v>
      </c>
      <c r="Q103" s="451">
        <f>'F5'!Q103+'F5.1 (N)'!V50</f>
        <v>0</v>
      </c>
      <c r="R103" s="428">
        <f t="shared" si="32"/>
        <v>0.3910440176002814</v>
      </c>
      <c r="S103" s="428">
        <f t="shared" si="33"/>
        <v>0.3910440176002814</v>
      </c>
      <c r="T103" s="451">
        <f>'F5'!T103+'F5.1 (N)'!Y50</f>
        <v>0</v>
      </c>
      <c r="U103" s="451">
        <f>'F5'!U103+'F5.1 (N)'!Z50</f>
        <v>0</v>
      </c>
      <c r="V103" s="451">
        <f>'F5'!V103+'F5.1 (N)'!AA50</f>
        <v>0</v>
      </c>
      <c r="W103" s="428">
        <f t="shared" si="34"/>
        <v>0.3910440176002814</v>
      </c>
    </row>
    <row r="104" spans="1:23" x14ac:dyDescent="0.3">
      <c r="A104" s="441">
        <f t="shared" si="27"/>
        <v>9.5000000000000001E-2</v>
      </c>
      <c r="B104" s="90">
        <f t="shared" si="35"/>
        <v>10</v>
      </c>
      <c r="C104" s="432" t="s">
        <v>259</v>
      </c>
      <c r="D104" s="343">
        <f t="shared" si="26"/>
        <v>1.3056993899999998</v>
      </c>
      <c r="E104" s="637">
        <f>'F5'!E104+'F5.1 (N)'!J51</f>
        <v>0</v>
      </c>
      <c r="F104" s="637">
        <f>'F5'!F104+'F5.1 (N)'!K51</f>
        <v>0</v>
      </c>
      <c r="G104" s="637">
        <f>'F5'!G104+'F5.1 (N)'!L51</f>
        <v>0</v>
      </c>
      <c r="H104" s="343">
        <f t="shared" si="28"/>
        <v>1.3056993899999998</v>
      </c>
      <c r="I104" s="428">
        <f t="shared" si="29"/>
        <v>1.3056993899999998</v>
      </c>
      <c r="J104" s="451">
        <f>'F5'!J104+'F5.1 (N)'!O51</f>
        <v>0</v>
      </c>
      <c r="K104" s="451">
        <f>'F5'!K104+'F5.1 (N)'!P51</f>
        <v>0</v>
      </c>
      <c r="L104" s="451">
        <f>'F5'!L104+'F5.1 (N)'!Q51</f>
        <v>0</v>
      </c>
      <c r="M104" s="428">
        <f t="shared" si="30"/>
        <v>1.3056993899999998</v>
      </c>
      <c r="N104" s="428">
        <f t="shared" si="31"/>
        <v>1.3056993899999998</v>
      </c>
      <c r="O104" s="451">
        <f>'F5'!O104+'F5.1 (N)'!T51</f>
        <v>0</v>
      </c>
      <c r="P104" s="451">
        <f>'F5'!P104+'F5.1 (N)'!U51</f>
        <v>0</v>
      </c>
      <c r="Q104" s="451">
        <f>'F5'!Q104+'F5.1 (N)'!V51</f>
        <v>0</v>
      </c>
      <c r="R104" s="428">
        <f t="shared" si="32"/>
        <v>1.3056993899999998</v>
      </c>
      <c r="S104" s="428">
        <f t="shared" si="33"/>
        <v>1.3056993899999998</v>
      </c>
      <c r="T104" s="451">
        <f>'F5'!T104+'F5.1 (N)'!Y51</f>
        <v>0</v>
      </c>
      <c r="U104" s="451">
        <f>'F5'!U104+'F5.1 (N)'!Z51</f>
        <v>0</v>
      </c>
      <c r="V104" s="451">
        <f>'F5'!V104+'F5.1 (N)'!AA51</f>
        <v>0</v>
      </c>
      <c r="W104" s="428">
        <f t="shared" si="34"/>
        <v>1.3056993899999998</v>
      </c>
    </row>
    <row r="105" spans="1:23" x14ac:dyDescent="0.3">
      <c r="A105" s="441">
        <f t="shared" si="27"/>
        <v>6.3299999999999995E-2</v>
      </c>
      <c r="B105" s="90">
        <f t="shared" si="35"/>
        <v>11</v>
      </c>
      <c r="C105" s="432" t="s">
        <v>260</v>
      </c>
      <c r="D105" s="343">
        <f t="shared" si="26"/>
        <v>0.72324607569758836</v>
      </c>
      <c r="E105" s="637">
        <f>'F5'!E105+'F5.1 (N)'!J52</f>
        <v>4.0519347629550562E-2</v>
      </c>
      <c r="F105" s="637">
        <f>'F5'!F105+'F5.1 (N)'!K52</f>
        <v>0</v>
      </c>
      <c r="G105" s="637">
        <f>'F5'!G105+'F5.1 (N)'!L52</f>
        <v>0</v>
      </c>
      <c r="H105" s="343">
        <f t="shared" si="28"/>
        <v>0.76376542332713893</v>
      </c>
      <c r="I105" s="428">
        <f t="shared" si="29"/>
        <v>0.76376542332713893</v>
      </c>
      <c r="J105" s="451">
        <f>'F5'!J105+'F5.1 (N)'!O52</f>
        <v>4.0519347629550562E-2</v>
      </c>
      <c r="K105" s="451">
        <f>'F5'!K105+'F5.1 (N)'!P52</f>
        <v>0</v>
      </c>
      <c r="L105" s="451">
        <f>'F5'!L105+'F5.1 (N)'!Q52</f>
        <v>0</v>
      </c>
      <c r="M105" s="428">
        <f t="shared" si="30"/>
        <v>0.80428477095668949</v>
      </c>
      <c r="N105" s="428">
        <f t="shared" si="31"/>
        <v>0.80428477095668949</v>
      </c>
      <c r="O105" s="451">
        <f>'F5'!O105+'F5.1 (N)'!T52</f>
        <v>4.0519347629550562E-2</v>
      </c>
      <c r="P105" s="451">
        <f>'F5'!P105+'F5.1 (N)'!U52</f>
        <v>0</v>
      </c>
      <c r="Q105" s="451">
        <f>'F5'!Q105+'F5.1 (N)'!V52</f>
        <v>0</v>
      </c>
      <c r="R105" s="428">
        <f t="shared" si="32"/>
        <v>0.84480411858624005</v>
      </c>
      <c r="S105" s="428">
        <f t="shared" si="33"/>
        <v>0.84480411858624005</v>
      </c>
      <c r="T105" s="451">
        <f>'F5'!T105+'F5.1 (N)'!Y52</f>
        <v>4.0519347629550562E-2</v>
      </c>
      <c r="U105" s="451">
        <f>'F5'!U105+'F5.1 (N)'!Z52</f>
        <v>0</v>
      </c>
      <c r="V105" s="451">
        <f>'F5'!V105+'F5.1 (N)'!AA52</f>
        <v>0</v>
      </c>
      <c r="W105" s="428">
        <f t="shared" si="34"/>
        <v>0.88532346621579061</v>
      </c>
    </row>
    <row r="106" spans="1:23" x14ac:dyDescent="0.3">
      <c r="A106" s="441">
        <f t="shared" si="27"/>
        <v>6.3299999999999995E-2</v>
      </c>
      <c r="B106" s="90">
        <f t="shared" si="35"/>
        <v>12</v>
      </c>
      <c r="C106" s="432" t="s">
        <v>261</v>
      </c>
      <c r="D106" s="343">
        <f t="shared" si="26"/>
        <v>1.6922408665562543</v>
      </c>
      <c r="E106" s="637">
        <f>'F5'!E106+'F5.1 (N)'!J53</f>
        <v>7.1414737545302365E-2</v>
      </c>
      <c r="F106" s="637">
        <f>'F5'!F106+'F5.1 (N)'!K53</f>
        <v>0</v>
      </c>
      <c r="G106" s="637">
        <f>'F5'!G106+'F5.1 (N)'!L53</f>
        <v>0</v>
      </c>
      <c r="H106" s="343">
        <f t="shared" si="28"/>
        <v>1.7636556041015568</v>
      </c>
      <c r="I106" s="428">
        <f t="shared" si="29"/>
        <v>1.7636556041015568</v>
      </c>
      <c r="J106" s="451">
        <f>'F5'!J106+'F5.1 (N)'!O53</f>
        <v>7.1414737545302323E-2</v>
      </c>
      <c r="K106" s="451">
        <f>'F5'!K106+'F5.1 (N)'!P53</f>
        <v>0</v>
      </c>
      <c r="L106" s="451">
        <f>'F5'!L106+'F5.1 (N)'!Q53</f>
        <v>0</v>
      </c>
      <c r="M106" s="428">
        <f t="shared" si="30"/>
        <v>1.835070341646859</v>
      </c>
      <c r="N106" s="428">
        <f t="shared" si="31"/>
        <v>1.835070341646859</v>
      </c>
      <c r="O106" s="451">
        <f>'F5'!O106+'F5.1 (N)'!T53</f>
        <v>7.1414737545302365E-2</v>
      </c>
      <c r="P106" s="451">
        <f>'F5'!P106+'F5.1 (N)'!U53</f>
        <v>0</v>
      </c>
      <c r="Q106" s="451">
        <f>'F5'!Q106+'F5.1 (N)'!V53</f>
        <v>0</v>
      </c>
      <c r="R106" s="428">
        <f t="shared" si="32"/>
        <v>1.9064850791921613</v>
      </c>
      <c r="S106" s="428">
        <f t="shared" si="33"/>
        <v>1.9064850791921613</v>
      </c>
      <c r="T106" s="451">
        <f>'F5'!T106+'F5.1 (N)'!Y53</f>
        <v>7.1414737545302476E-2</v>
      </c>
      <c r="U106" s="451">
        <f>'F5'!U106+'F5.1 (N)'!Z53</f>
        <v>0</v>
      </c>
      <c r="V106" s="451">
        <f>'F5'!V106+'F5.1 (N)'!AA53</f>
        <v>0</v>
      </c>
      <c r="W106" s="428">
        <f t="shared" si="34"/>
        <v>1.9778998167374637</v>
      </c>
    </row>
    <row r="107" spans="1:23" x14ac:dyDescent="0.3">
      <c r="A107" s="441">
        <f t="shared" si="27"/>
        <v>6.3299999999999995E-2</v>
      </c>
      <c r="B107" s="90">
        <f t="shared" si="35"/>
        <v>13</v>
      </c>
      <c r="C107" s="450" t="s">
        <v>899</v>
      </c>
      <c r="D107" s="343">
        <f t="shared" si="26"/>
        <v>0</v>
      </c>
      <c r="E107" s="637">
        <f>'F5'!E107+'F5.1 (N)'!J54</f>
        <v>0</v>
      </c>
      <c r="F107" s="637">
        <f>'F5'!F107+'F5.1 (N)'!K54</f>
        <v>0</v>
      </c>
      <c r="G107" s="637">
        <f>'F5'!G107+'F5.1 (N)'!L54</f>
        <v>0</v>
      </c>
      <c r="H107" s="343">
        <f t="shared" si="28"/>
        <v>0</v>
      </c>
      <c r="I107" s="428">
        <f t="shared" si="29"/>
        <v>0</v>
      </c>
      <c r="J107" s="451">
        <f>'F5'!J107+'F5.1 (N)'!O54</f>
        <v>0</v>
      </c>
      <c r="K107" s="451">
        <f>'F5'!K107+'F5.1 (N)'!P54</f>
        <v>0</v>
      </c>
      <c r="L107" s="451">
        <f>'F5'!L107+'F5.1 (N)'!Q54</f>
        <v>0</v>
      </c>
      <c r="M107" s="428">
        <f t="shared" si="30"/>
        <v>0</v>
      </c>
      <c r="N107" s="428">
        <f t="shared" si="31"/>
        <v>0</v>
      </c>
      <c r="O107" s="451">
        <f>'F5'!O107+'F5.1 (N)'!T54</f>
        <v>0</v>
      </c>
      <c r="P107" s="451">
        <f>'F5'!P107+'F5.1 (N)'!U54</f>
        <v>0</v>
      </c>
      <c r="Q107" s="451">
        <f>'F5'!Q107+'F5.1 (N)'!V54</f>
        <v>0</v>
      </c>
      <c r="R107" s="428">
        <f t="shared" si="32"/>
        <v>0</v>
      </c>
      <c r="S107" s="428">
        <f t="shared" si="33"/>
        <v>0</v>
      </c>
      <c r="T107" s="451">
        <f>'F5'!T107+'F5.1 (N)'!Y54</f>
        <v>0</v>
      </c>
      <c r="U107" s="451">
        <f>'F5'!U107+'F5.1 (N)'!Z54</f>
        <v>0</v>
      </c>
      <c r="V107" s="451">
        <f>'F5'!V107+'F5.1 (N)'!AA54</f>
        <v>0</v>
      </c>
      <c r="W107" s="428">
        <f t="shared" si="34"/>
        <v>0</v>
      </c>
    </row>
    <row r="108" spans="1:23" x14ac:dyDescent="0.3">
      <c r="A108" s="441">
        <f t="shared" si="27"/>
        <v>0.15</v>
      </c>
      <c r="B108" s="90">
        <f t="shared" si="35"/>
        <v>14</v>
      </c>
      <c r="C108" s="450" t="s">
        <v>900</v>
      </c>
      <c r="D108" s="343">
        <f t="shared" si="26"/>
        <v>1.2235994849999994E-2</v>
      </c>
      <c r="E108" s="637">
        <f>'F5'!E108+'F5.1 (N)'!J55</f>
        <v>-2.2331679000000019E-3</v>
      </c>
      <c r="F108" s="637">
        <f>'F5'!F108+'F5.1 (N)'!K55</f>
        <v>0</v>
      </c>
      <c r="G108" s="637">
        <f>'F5'!G108+'F5.1 (N)'!L55</f>
        <v>0</v>
      </c>
      <c r="H108" s="343">
        <f t="shared" si="28"/>
        <v>1.0002826949999991E-2</v>
      </c>
      <c r="I108" s="428">
        <f t="shared" si="29"/>
        <v>1.0002826949999991E-2</v>
      </c>
      <c r="J108" s="451">
        <f>'F5'!J108+'F5.1 (N)'!O55</f>
        <v>-2.2331679000000019E-3</v>
      </c>
      <c r="K108" s="451">
        <f>'F5'!K108+'F5.1 (N)'!P55</f>
        <v>0</v>
      </c>
      <c r="L108" s="451">
        <f>'F5'!L108+'F5.1 (N)'!Q55</f>
        <v>0</v>
      </c>
      <c r="M108" s="428">
        <f t="shared" si="30"/>
        <v>7.7696590499999893E-3</v>
      </c>
      <c r="N108" s="428">
        <f t="shared" si="31"/>
        <v>7.7696590499999893E-3</v>
      </c>
      <c r="O108" s="451">
        <f>'F5'!O108+'F5.1 (N)'!T55</f>
        <v>-2.2331679000000019E-3</v>
      </c>
      <c r="P108" s="451">
        <f>'F5'!P108+'F5.1 (N)'!U55</f>
        <v>0</v>
      </c>
      <c r="Q108" s="451">
        <f>'F5'!Q108+'F5.1 (N)'!V55</f>
        <v>0</v>
      </c>
      <c r="R108" s="428">
        <f t="shared" si="32"/>
        <v>5.5364911499999874E-3</v>
      </c>
      <c r="S108" s="428">
        <f t="shared" si="33"/>
        <v>5.5364911499999874E-3</v>
      </c>
      <c r="T108" s="451">
        <f>'F5'!T108+'F5.1 (N)'!Y55</f>
        <v>-2.2331679000000019E-3</v>
      </c>
      <c r="U108" s="451">
        <f>'F5'!U108+'F5.1 (N)'!Z55</f>
        <v>0</v>
      </c>
      <c r="V108" s="451">
        <f>'F5'!V108+'F5.1 (N)'!AA55</f>
        <v>0</v>
      </c>
      <c r="W108" s="428">
        <f t="shared" si="34"/>
        <v>3.3033232499999855E-3</v>
      </c>
    </row>
    <row r="109" spans="1:23" x14ac:dyDescent="0.3">
      <c r="A109" s="441">
        <f t="shared" si="27"/>
        <v>0.3</v>
      </c>
      <c r="B109" s="90">
        <f t="shared" si="35"/>
        <v>15</v>
      </c>
      <c r="C109" s="450" t="s">
        <v>901</v>
      </c>
      <c r="D109" s="343">
        <f t="shared" si="26"/>
        <v>0</v>
      </c>
      <c r="E109" s="637">
        <f>'F5'!E109+'F5.1 (N)'!J56</f>
        <v>0</v>
      </c>
      <c r="F109" s="637">
        <f>'F5'!F109+'F5.1 (N)'!K56</f>
        <v>0</v>
      </c>
      <c r="G109" s="637">
        <f>'F5'!G109+'F5.1 (N)'!L56</f>
        <v>0</v>
      </c>
      <c r="H109" s="343">
        <f t="shared" si="28"/>
        <v>0</v>
      </c>
      <c r="I109" s="428">
        <f t="shared" si="29"/>
        <v>0</v>
      </c>
      <c r="J109" s="451">
        <f>'F5'!J109+'F5.1 (N)'!O56</f>
        <v>0</v>
      </c>
      <c r="K109" s="451">
        <f>'F5'!K109+'F5.1 (N)'!P56</f>
        <v>0</v>
      </c>
      <c r="L109" s="451">
        <f>'F5'!L109+'F5.1 (N)'!Q56</f>
        <v>0</v>
      </c>
      <c r="M109" s="428">
        <f t="shared" si="30"/>
        <v>0</v>
      </c>
      <c r="N109" s="428">
        <f t="shared" si="31"/>
        <v>0</v>
      </c>
      <c r="O109" s="451">
        <f>'F5'!O109+'F5.1 (N)'!T56</f>
        <v>0</v>
      </c>
      <c r="P109" s="451">
        <f>'F5'!P109+'F5.1 (N)'!U56</f>
        <v>0</v>
      </c>
      <c r="Q109" s="451">
        <f>'F5'!Q109+'F5.1 (N)'!V56</f>
        <v>0</v>
      </c>
      <c r="R109" s="428">
        <f t="shared" si="32"/>
        <v>0</v>
      </c>
      <c r="S109" s="428">
        <f t="shared" si="33"/>
        <v>0</v>
      </c>
      <c r="T109" s="451">
        <f>'F5'!T109+'F5.1 (N)'!Y56</f>
        <v>0</v>
      </c>
      <c r="U109" s="451">
        <f>'F5'!U109+'F5.1 (N)'!Z56</f>
        <v>0</v>
      </c>
      <c r="V109" s="451">
        <f>'F5'!V109+'F5.1 (N)'!AA56</f>
        <v>0</v>
      </c>
      <c r="W109" s="428">
        <f t="shared" si="34"/>
        <v>0</v>
      </c>
    </row>
    <row r="110" spans="1:23" x14ac:dyDescent="0.3">
      <c r="A110" s="441">
        <f t="shared" si="27"/>
        <v>0.3</v>
      </c>
      <c r="B110" s="90">
        <f t="shared" si="35"/>
        <v>16</v>
      </c>
      <c r="C110" s="450" t="s">
        <v>853</v>
      </c>
      <c r="D110" s="343">
        <f t="shared" si="26"/>
        <v>0</v>
      </c>
      <c r="E110" s="637">
        <f>'F5'!E110+'F5.1 (N)'!J57</f>
        <v>0</v>
      </c>
      <c r="F110" s="637">
        <f>'F5'!F110+'F5.1 (N)'!K57</f>
        <v>0</v>
      </c>
      <c r="G110" s="637">
        <f>'F5'!G110+'F5.1 (N)'!L57</f>
        <v>0</v>
      </c>
      <c r="H110" s="343">
        <f t="shared" si="28"/>
        <v>0</v>
      </c>
      <c r="I110" s="428">
        <f t="shared" si="29"/>
        <v>0</v>
      </c>
      <c r="J110" s="451">
        <f>'F5'!J110+'F5.1 (N)'!O57</f>
        <v>0</v>
      </c>
      <c r="K110" s="451">
        <f>'F5'!K110+'F5.1 (N)'!P57</f>
        <v>0</v>
      </c>
      <c r="L110" s="451">
        <f>'F5'!L110+'F5.1 (N)'!Q57</f>
        <v>0</v>
      </c>
      <c r="M110" s="428">
        <f t="shared" si="30"/>
        <v>0</v>
      </c>
      <c r="N110" s="428">
        <f t="shared" si="31"/>
        <v>0</v>
      </c>
      <c r="O110" s="451">
        <f>'F5'!O110+'F5.1 (N)'!T57</f>
        <v>0</v>
      </c>
      <c r="P110" s="451">
        <f>'F5'!P110+'F5.1 (N)'!U57</f>
        <v>0</v>
      </c>
      <c r="Q110" s="451">
        <f>'F5'!Q110+'F5.1 (N)'!V57</f>
        <v>0</v>
      </c>
      <c r="R110" s="428">
        <f t="shared" si="32"/>
        <v>0</v>
      </c>
      <c r="S110" s="428">
        <f t="shared" si="33"/>
        <v>0</v>
      </c>
      <c r="T110" s="451">
        <f>'F5'!T110+'F5.1 (N)'!Y57</f>
        <v>0</v>
      </c>
      <c r="U110" s="451">
        <f>'F5'!U110+'F5.1 (N)'!Z57</f>
        <v>0</v>
      </c>
      <c r="V110" s="451">
        <f>'F5'!V110+'F5.1 (N)'!AA57</f>
        <v>0</v>
      </c>
      <c r="W110" s="428">
        <f t="shared" si="34"/>
        <v>0</v>
      </c>
    </row>
    <row r="111" spans="1:23" x14ac:dyDescent="0.3">
      <c r="A111" s="441">
        <f t="shared" si="27"/>
        <v>3.3399999999999999E-2</v>
      </c>
      <c r="B111" s="90">
        <f t="shared" si="35"/>
        <v>17</v>
      </c>
      <c r="C111" s="450" t="s">
        <v>902</v>
      </c>
      <c r="D111" s="343">
        <f t="shared" si="26"/>
        <v>0</v>
      </c>
      <c r="E111" s="637">
        <f>'F5'!E111+'F5.1 (N)'!J58</f>
        <v>0</v>
      </c>
      <c r="F111" s="637">
        <f>'F5'!F111+'F5.1 (N)'!K58</f>
        <v>0</v>
      </c>
      <c r="G111" s="637">
        <f>'F5'!G111+'F5.1 (N)'!L58</f>
        <v>0</v>
      </c>
      <c r="H111" s="343">
        <f t="shared" si="28"/>
        <v>0</v>
      </c>
      <c r="I111" s="428">
        <f t="shared" si="29"/>
        <v>0</v>
      </c>
      <c r="J111" s="451">
        <f>'F5'!J111+'F5.1 (N)'!O58</f>
        <v>0</v>
      </c>
      <c r="K111" s="451">
        <f>'F5'!K111+'F5.1 (N)'!P58</f>
        <v>0</v>
      </c>
      <c r="L111" s="451">
        <f>'F5'!L111+'F5.1 (N)'!Q58</f>
        <v>0</v>
      </c>
      <c r="M111" s="428">
        <f t="shared" si="30"/>
        <v>0</v>
      </c>
      <c r="N111" s="428">
        <f t="shared" si="31"/>
        <v>0</v>
      </c>
      <c r="O111" s="451">
        <f>'F5'!O111+'F5.1 (N)'!T58</f>
        <v>0</v>
      </c>
      <c r="P111" s="451">
        <f>'F5'!P111+'F5.1 (N)'!U58</f>
        <v>0</v>
      </c>
      <c r="Q111" s="451">
        <f>'F5'!Q111+'F5.1 (N)'!V58</f>
        <v>0</v>
      </c>
      <c r="R111" s="428">
        <f t="shared" si="32"/>
        <v>0</v>
      </c>
      <c r="S111" s="428">
        <f t="shared" si="33"/>
        <v>0</v>
      </c>
      <c r="T111" s="451">
        <f>'F5'!T111+'F5.1 (N)'!Y58</f>
        <v>0</v>
      </c>
      <c r="U111" s="451">
        <f>'F5'!U111+'F5.1 (N)'!Z58</f>
        <v>0</v>
      </c>
      <c r="V111" s="451">
        <f>'F5'!V111+'F5.1 (N)'!AA58</f>
        <v>0</v>
      </c>
      <c r="W111" s="428">
        <f t="shared" si="34"/>
        <v>0</v>
      </c>
    </row>
    <row r="112" spans="1:23" ht="16" x14ac:dyDescent="0.3">
      <c r="B112" s="78"/>
      <c r="C112" s="92" t="s">
        <v>271</v>
      </c>
      <c r="D112" s="345">
        <f t="shared" ref="D112:W112" si="36">SUM(D95:D111)</f>
        <v>399.03128863931147</v>
      </c>
      <c r="E112" s="345">
        <f t="shared" si="36"/>
        <v>7.3824892266675661</v>
      </c>
      <c r="F112" s="345">
        <f t="shared" si="36"/>
        <v>0</v>
      </c>
      <c r="G112" s="345">
        <f t="shared" si="36"/>
        <v>0</v>
      </c>
      <c r="H112" s="345">
        <f t="shared" si="36"/>
        <v>406.41377786597889</v>
      </c>
      <c r="I112" s="345">
        <f t="shared" si="36"/>
        <v>406.41377786597889</v>
      </c>
      <c r="J112" s="345">
        <f t="shared" si="36"/>
        <v>9.044139226667566</v>
      </c>
      <c r="K112" s="345">
        <f t="shared" si="36"/>
        <v>0</v>
      </c>
      <c r="L112" s="345">
        <f t="shared" si="36"/>
        <v>0</v>
      </c>
      <c r="M112" s="345">
        <f t="shared" si="36"/>
        <v>415.4579170926466</v>
      </c>
      <c r="N112" s="345">
        <f t="shared" si="36"/>
        <v>415.4579170926466</v>
      </c>
      <c r="O112" s="345">
        <f t="shared" si="36"/>
        <v>9.0441392266675571</v>
      </c>
      <c r="P112" s="345">
        <f t="shared" si="36"/>
        <v>0</v>
      </c>
      <c r="Q112" s="345">
        <f t="shared" si="36"/>
        <v>0</v>
      </c>
      <c r="R112" s="345">
        <f t="shared" si="36"/>
        <v>424.50205631931419</v>
      </c>
      <c r="S112" s="345">
        <f t="shared" si="36"/>
        <v>424.50205631931419</v>
      </c>
      <c r="T112" s="345">
        <f t="shared" si="36"/>
        <v>9.0441392266675358</v>
      </c>
      <c r="U112" s="345">
        <f t="shared" si="36"/>
        <v>0</v>
      </c>
      <c r="V112" s="345">
        <f t="shared" si="36"/>
        <v>0</v>
      </c>
      <c r="W112" s="345">
        <f t="shared" si="36"/>
        <v>433.54619554598173</v>
      </c>
    </row>
    <row r="113" spans="2:23" ht="16" x14ac:dyDescent="0.3">
      <c r="B113" s="258"/>
      <c r="C113" s="260"/>
      <c r="D113" s="461"/>
      <c r="E113" s="460">
        <f>T86-1</f>
        <v>-1</v>
      </c>
      <c r="F113" s="461"/>
      <c r="G113" s="461"/>
      <c r="H113" s="461"/>
    </row>
    <row r="114" spans="2:23" x14ac:dyDescent="0.3">
      <c r="B114" s="1"/>
      <c r="C114" s="1"/>
      <c r="D114" s="1"/>
      <c r="E114" s="1"/>
      <c r="F114" s="1"/>
      <c r="G114" s="1"/>
      <c r="H114" s="1"/>
      <c r="I114" s="1"/>
      <c r="J114" s="1"/>
      <c r="K114" s="1"/>
      <c r="L114" s="1"/>
      <c r="M114" s="1"/>
      <c r="N114" s="1"/>
      <c r="O114" s="1"/>
      <c r="P114" s="1"/>
      <c r="Q114" s="1"/>
      <c r="R114" s="1"/>
    </row>
    <row r="115" spans="2:23" x14ac:dyDescent="0.3">
      <c r="B115" s="1026" t="s">
        <v>341</v>
      </c>
      <c r="C115" s="1"/>
      <c r="D115" s="1"/>
      <c r="E115" s="1"/>
      <c r="F115" s="1"/>
      <c r="G115" s="1"/>
      <c r="H115" s="1"/>
      <c r="I115" s="1"/>
      <c r="J115" s="1"/>
      <c r="K115" s="1"/>
      <c r="L115" s="1"/>
      <c r="M115" s="1"/>
      <c r="N115" s="1"/>
      <c r="O115" s="1"/>
      <c r="P115" s="1"/>
      <c r="Q115" s="1"/>
      <c r="R115" s="1"/>
    </row>
    <row r="116" spans="2:23" x14ac:dyDescent="0.3">
      <c r="B116" s="1026"/>
      <c r="C116" s="1"/>
      <c r="D116" s="1"/>
      <c r="E116" s="1"/>
      <c r="F116" s="1"/>
      <c r="G116" s="1"/>
      <c r="H116" s="1"/>
      <c r="I116" s="1"/>
      <c r="J116" s="1"/>
      <c r="K116" s="1"/>
      <c r="L116" s="1"/>
      <c r="M116" s="1"/>
      <c r="N116" s="1"/>
      <c r="O116" s="1"/>
      <c r="P116" s="1"/>
      <c r="Q116" s="1"/>
      <c r="R116" s="1"/>
    </row>
    <row r="117" spans="2:23" x14ac:dyDescent="0.3">
      <c r="B117" s="1"/>
      <c r="C117" s="1"/>
      <c r="D117" s="8"/>
      <c r="E117" s="8"/>
      <c r="F117" s="8"/>
      <c r="G117" s="8"/>
      <c r="H117" s="8"/>
      <c r="I117" s="1"/>
      <c r="J117" s="42"/>
      <c r="K117" s="1"/>
      <c r="L117" s="1"/>
      <c r="O117" s="1"/>
      <c r="P117" s="1"/>
      <c r="Q117" s="1"/>
      <c r="W117" s="255" t="s">
        <v>10</v>
      </c>
    </row>
    <row r="118" spans="2:23" ht="15" customHeight="1" x14ac:dyDescent="0.3">
      <c r="B118" s="1639" t="s">
        <v>340</v>
      </c>
      <c r="C118" s="1639" t="s">
        <v>38</v>
      </c>
      <c r="D118" s="1759" t="s">
        <v>505</v>
      </c>
      <c r="E118" s="1760"/>
      <c r="F118" s="1760"/>
      <c r="G118" s="1760"/>
      <c r="H118" s="1761"/>
      <c r="I118" s="1762" t="s">
        <v>506</v>
      </c>
      <c r="J118" s="1762"/>
      <c r="K118" s="1762"/>
      <c r="L118" s="1762"/>
      <c r="M118" s="1762"/>
      <c r="N118" s="1758" t="s">
        <v>507</v>
      </c>
      <c r="O118" s="1758"/>
      <c r="P118" s="1758"/>
      <c r="Q118" s="1758"/>
      <c r="R118" s="1758"/>
      <c r="S118" s="1758" t="s">
        <v>1067</v>
      </c>
      <c r="T118" s="1758"/>
      <c r="U118" s="1758"/>
      <c r="V118" s="1758"/>
      <c r="W118" s="1758"/>
    </row>
    <row r="119" spans="2:23" x14ac:dyDescent="0.3">
      <c r="B119" s="1639"/>
      <c r="C119" s="1639"/>
      <c r="D119" s="1764" t="s">
        <v>7</v>
      </c>
      <c r="E119" s="1765"/>
      <c r="F119" s="1765"/>
      <c r="G119" s="1765"/>
      <c r="H119" s="1765"/>
      <c r="I119" s="1764" t="s">
        <v>7</v>
      </c>
      <c r="J119" s="1765"/>
      <c r="K119" s="1765"/>
      <c r="L119" s="1765"/>
      <c r="M119" s="1765"/>
      <c r="N119" s="1762" t="s">
        <v>12</v>
      </c>
      <c r="O119" s="1763"/>
      <c r="P119" s="1763"/>
      <c r="Q119" s="1763"/>
      <c r="R119" s="1763"/>
      <c r="S119" s="1762" t="s">
        <v>21</v>
      </c>
      <c r="T119" s="1763"/>
      <c r="U119" s="1763"/>
      <c r="V119" s="1763"/>
      <c r="W119" s="1763"/>
    </row>
    <row r="120" spans="2:23" ht="42" x14ac:dyDescent="0.3">
      <c r="B120" s="1639"/>
      <c r="C120" s="1639"/>
      <c r="D120" s="1030" t="s">
        <v>267</v>
      </c>
      <c r="E120" s="1030" t="s">
        <v>268</v>
      </c>
      <c r="F120" s="259" t="s">
        <v>274</v>
      </c>
      <c r="G120" s="1024" t="s">
        <v>586</v>
      </c>
      <c r="H120" s="1030" t="s">
        <v>270</v>
      </c>
      <c r="I120" s="1030" t="s">
        <v>267</v>
      </c>
      <c r="J120" s="1030" t="s">
        <v>268</v>
      </c>
      <c r="K120" s="259" t="s">
        <v>274</v>
      </c>
      <c r="L120" s="1024" t="s">
        <v>586</v>
      </c>
      <c r="M120" s="1030" t="s">
        <v>270</v>
      </c>
      <c r="N120" s="1030" t="s">
        <v>267</v>
      </c>
      <c r="O120" s="1030" t="s">
        <v>268</v>
      </c>
      <c r="P120" s="259" t="s">
        <v>274</v>
      </c>
      <c r="Q120" s="1024" t="s">
        <v>586</v>
      </c>
      <c r="R120" s="1030" t="s">
        <v>270</v>
      </c>
      <c r="S120" s="1030" t="s">
        <v>267</v>
      </c>
      <c r="T120" s="1030" t="s">
        <v>268</v>
      </c>
      <c r="U120" s="259" t="s">
        <v>274</v>
      </c>
      <c r="V120" s="1024" t="s">
        <v>586</v>
      </c>
      <c r="W120" s="1030" t="s">
        <v>270</v>
      </c>
    </row>
    <row r="121" spans="2:23" ht="28" x14ac:dyDescent="0.3">
      <c r="B121" s="256"/>
      <c r="C121" s="256"/>
      <c r="D121" s="256" t="s">
        <v>82</v>
      </c>
      <c r="E121" s="256" t="s">
        <v>83</v>
      </c>
      <c r="F121" s="256" t="s">
        <v>459</v>
      </c>
      <c r="G121" s="256" t="s">
        <v>391</v>
      </c>
      <c r="H121" s="256" t="s">
        <v>587</v>
      </c>
      <c r="I121" s="256" t="s">
        <v>409</v>
      </c>
      <c r="J121" s="256" t="s">
        <v>508</v>
      </c>
      <c r="K121" s="256" t="s">
        <v>410</v>
      </c>
      <c r="L121" s="256" t="s">
        <v>411</v>
      </c>
      <c r="M121" s="256" t="s">
        <v>652</v>
      </c>
      <c r="N121" s="256" t="s">
        <v>594</v>
      </c>
      <c r="O121" s="256" t="s">
        <v>595</v>
      </c>
      <c r="P121" s="256" t="s">
        <v>596</v>
      </c>
      <c r="Q121" s="256" t="s">
        <v>655</v>
      </c>
      <c r="R121" s="256" t="s">
        <v>656</v>
      </c>
      <c r="S121" s="256" t="s">
        <v>657</v>
      </c>
      <c r="T121" s="256" t="s">
        <v>658</v>
      </c>
      <c r="U121" s="256" t="s">
        <v>659</v>
      </c>
      <c r="V121" s="256" t="s">
        <v>660</v>
      </c>
      <c r="W121" s="256" t="s">
        <v>661</v>
      </c>
    </row>
    <row r="122" spans="2:23" x14ac:dyDescent="0.3">
      <c r="B122" s="90">
        <v>1</v>
      </c>
      <c r="C122" s="432" t="s">
        <v>845</v>
      </c>
      <c r="D122" s="346">
        <f>D14-D68</f>
        <v>3.4063698999999996</v>
      </c>
      <c r="E122" s="346">
        <f>E14-E68</f>
        <v>0</v>
      </c>
      <c r="F122" s="346">
        <f>F14-F68</f>
        <v>0</v>
      </c>
      <c r="G122" s="346">
        <f>G14-G68</f>
        <v>0</v>
      </c>
      <c r="H122" s="346">
        <f>D122+E122-F122-G122</f>
        <v>3.4063698999999996</v>
      </c>
      <c r="I122" s="346">
        <f t="shared" ref="I122:L138" si="37">I14-I68</f>
        <v>3.4063698999999996</v>
      </c>
      <c r="J122" s="346">
        <f t="shared" si="37"/>
        <v>0.19434199999999999</v>
      </c>
      <c r="K122" s="346">
        <f t="shared" si="37"/>
        <v>0</v>
      </c>
      <c r="L122" s="346">
        <f t="shared" si="37"/>
        <v>0</v>
      </c>
      <c r="M122" s="343">
        <f>I122+J122-K122-L122</f>
        <v>3.6007118999999994</v>
      </c>
      <c r="N122" s="346">
        <f t="shared" ref="N122:Q138" si="38">N14-N68</f>
        <v>3.6007118999999994</v>
      </c>
      <c r="O122" s="346">
        <f t="shared" si="38"/>
        <v>0</v>
      </c>
      <c r="P122" s="346">
        <f t="shared" si="38"/>
        <v>0</v>
      </c>
      <c r="Q122" s="346">
        <f t="shared" si="38"/>
        <v>0</v>
      </c>
      <c r="R122" s="346">
        <f>N122+O122-P122-Q122</f>
        <v>3.6007118999999994</v>
      </c>
      <c r="S122" s="346">
        <f t="shared" ref="S122:V138" si="39">S14-S68</f>
        <v>3.6007118999999994</v>
      </c>
      <c r="T122" s="346">
        <f t="shared" si="39"/>
        <v>0</v>
      </c>
      <c r="U122" s="346">
        <f t="shared" si="39"/>
        <v>0</v>
      </c>
      <c r="V122" s="346">
        <f t="shared" si="39"/>
        <v>0</v>
      </c>
      <c r="W122" s="343">
        <f>S122+T122-U122-V122</f>
        <v>3.6007118999999994</v>
      </c>
    </row>
    <row r="123" spans="2:23" x14ac:dyDescent="0.3">
      <c r="B123" s="90">
        <f>B122+1</f>
        <v>2</v>
      </c>
      <c r="C123" s="432" t="s">
        <v>846</v>
      </c>
      <c r="D123" s="346">
        <f t="shared" ref="D123:D138" si="40">D15-D69</f>
        <v>1.9518517318752409</v>
      </c>
      <c r="E123" s="346">
        <f t="shared" ref="E123:G138" si="41">E15-E69</f>
        <v>-3.242869076206626E-2</v>
      </c>
      <c r="F123" s="346">
        <f t="shared" si="41"/>
        <v>0</v>
      </c>
      <c r="G123" s="346">
        <f t="shared" si="41"/>
        <v>0</v>
      </c>
      <c r="H123" s="346">
        <f t="shared" ref="H123:H138" si="42">D123+E123-F123-G123</f>
        <v>1.9194230411131745</v>
      </c>
      <c r="I123" s="346">
        <f t="shared" si="37"/>
        <v>1.9194230411131734</v>
      </c>
      <c r="J123" s="346">
        <f t="shared" si="37"/>
        <v>-9.265340217733049E-3</v>
      </c>
      <c r="K123" s="346">
        <f t="shared" si="37"/>
        <v>0</v>
      </c>
      <c r="L123" s="346">
        <f t="shared" si="37"/>
        <v>0</v>
      </c>
      <c r="M123" s="343">
        <f t="shared" ref="M123:M138" si="43">I123+J123-K123-L123</f>
        <v>1.9101577008954405</v>
      </c>
      <c r="N123" s="346">
        <f t="shared" si="38"/>
        <v>1.9101577008954393</v>
      </c>
      <c r="O123" s="346">
        <f t="shared" si="38"/>
        <v>-9.265340217732879E-3</v>
      </c>
      <c r="P123" s="346">
        <f t="shared" si="38"/>
        <v>0</v>
      </c>
      <c r="Q123" s="346">
        <f t="shared" si="38"/>
        <v>0</v>
      </c>
      <c r="R123" s="346">
        <f t="shared" ref="R123:R138" si="44">N123+O123-P123-Q123</f>
        <v>1.9008923606777064</v>
      </c>
      <c r="S123" s="346">
        <f t="shared" si="39"/>
        <v>1.9008923606777053</v>
      </c>
      <c r="T123" s="747">
        <f t="shared" si="39"/>
        <v>-9.2653402177326431E-3</v>
      </c>
      <c r="U123" s="346">
        <f t="shared" si="39"/>
        <v>0</v>
      </c>
      <c r="V123" s="346">
        <f t="shared" si="39"/>
        <v>0</v>
      </c>
      <c r="W123" s="343">
        <f t="shared" ref="W123:W138" si="45">S123+T123-U123-V123</f>
        <v>1.8916270204599726</v>
      </c>
    </row>
    <row r="124" spans="2:23" x14ac:dyDescent="0.3">
      <c r="B124" s="90">
        <f t="shared" ref="B124:B138" si="46">B123+1</f>
        <v>3</v>
      </c>
      <c r="C124" s="432" t="s">
        <v>847</v>
      </c>
      <c r="D124" s="346">
        <f t="shared" si="40"/>
        <v>0</v>
      </c>
      <c r="E124" s="346">
        <f t="shared" si="41"/>
        <v>0</v>
      </c>
      <c r="F124" s="346">
        <f t="shared" si="41"/>
        <v>0</v>
      </c>
      <c r="G124" s="346">
        <f t="shared" si="41"/>
        <v>0</v>
      </c>
      <c r="H124" s="346">
        <f t="shared" si="42"/>
        <v>0</v>
      </c>
      <c r="I124" s="346">
        <f t="shared" si="37"/>
        <v>0</v>
      </c>
      <c r="J124" s="346">
        <f t="shared" si="37"/>
        <v>0</v>
      </c>
      <c r="K124" s="346">
        <f t="shared" si="37"/>
        <v>0</v>
      </c>
      <c r="L124" s="346">
        <f t="shared" si="37"/>
        <v>0</v>
      </c>
      <c r="M124" s="343">
        <f t="shared" si="43"/>
        <v>0</v>
      </c>
      <c r="N124" s="346">
        <f t="shared" si="38"/>
        <v>0</v>
      </c>
      <c r="O124" s="346">
        <f t="shared" si="38"/>
        <v>0</v>
      </c>
      <c r="P124" s="346">
        <f t="shared" si="38"/>
        <v>0</v>
      </c>
      <c r="Q124" s="346">
        <f t="shared" si="38"/>
        <v>0</v>
      </c>
      <c r="R124" s="346">
        <f t="shared" si="44"/>
        <v>0</v>
      </c>
      <c r="S124" s="346">
        <f t="shared" si="39"/>
        <v>0</v>
      </c>
      <c r="T124" s="346">
        <f t="shared" si="39"/>
        <v>0</v>
      </c>
      <c r="U124" s="346">
        <f t="shared" si="39"/>
        <v>0</v>
      </c>
      <c r="V124" s="346">
        <f t="shared" si="39"/>
        <v>0</v>
      </c>
      <c r="W124" s="343">
        <f t="shared" si="45"/>
        <v>0</v>
      </c>
    </row>
    <row r="125" spans="2:23" x14ac:dyDescent="0.3">
      <c r="B125" s="90">
        <f t="shared" si="46"/>
        <v>4</v>
      </c>
      <c r="C125" s="432" t="s">
        <v>848</v>
      </c>
      <c r="D125" s="346">
        <f t="shared" si="40"/>
        <v>8.4267406846126676</v>
      </c>
      <c r="E125" s="346">
        <f t="shared" si="41"/>
        <v>-0.53915846153755587</v>
      </c>
      <c r="F125" s="346">
        <f t="shared" si="41"/>
        <v>0</v>
      </c>
      <c r="G125" s="346">
        <f t="shared" si="41"/>
        <v>0</v>
      </c>
      <c r="H125" s="346">
        <f t="shared" si="42"/>
        <v>7.8875822230751114</v>
      </c>
      <c r="I125" s="346">
        <f t="shared" si="37"/>
        <v>7.887582223075114</v>
      </c>
      <c r="J125" s="346">
        <f t="shared" si="37"/>
        <v>-0.15404527472501631</v>
      </c>
      <c r="K125" s="346">
        <f t="shared" si="37"/>
        <v>0</v>
      </c>
      <c r="L125" s="346">
        <f t="shared" si="37"/>
        <v>0</v>
      </c>
      <c r="M125" s="343">
        <f t="shared" si="43"/>
        <v>7.733536948350098</v>
      </c>
      <c r="N125" s="346">
        <f t="shared" si="38"/>
        <v>7.7335369483500997</v>
      </c>
      <c r="O125" s="346">
        <f t="shared" si="38"/>
        <v>-0.15404527472501664</v>
      </c>
      <c r="P125" s="346">
        <f t="shared" si="38"/>
        <v>0</v>
      </c>
      <c r="Q125" s="346">
        <f t="shared" si="38"/>
        <v>0</v>
      </c>
      <c r="R125" s="346">
        <f t="shared" si="44"/>
        <v>7.5794916736250828</v>
      </c>
      <c r="S125" s="346">
        <f t="shared" si="39"/>
        <v>7.5794916736250855</v>
      </c>
      <c r="T125" s="346">
        <f t="shared" si="39"/>
        <v>-0.15404527472501711</v>
      </c>
      <c r="U125" s="346">
        <f t="shared" si="39"/>
        <v>0</v>
      </c>
      <c r="V125" s="346">
        <f t="shared" si="39"/>
        <v>0</v>
      </c>
      <c r="W125" s="343">
        <f t="shared" si="45"/>
        <v>7.4254463989000685</v>
      </c>
    </row>
    <row r="126" spans="2:23" x14ac:dyDescent="0.3">
      <c r="B126" s="90">
        <f t="shared" si="46"/>
        <v>5</v>
      </c>
      <c r="C126" s="432" t="s">
        <v>849</v>
      </c>
      <c r="D126" s="346">
        <f t="shared" si="40"/>
        <v>32.953133440223574</v>
      </c>
      <c r="E126" s="346">
        <f t="shared" si="41"/>
        <v>-2.8239063396000001</v>
      </c>
      <c r="F126" s="346">
        <f t="shared" si="41"/>
        <v>0</v>
      </c>
      <c r="G126" s="346">
        <f t="shared" si="41"/>
        <v>0</v>
      </c>
      <c r="H126" s="346">
        <f t="shared" si="42"/>
        <v>30.129227100623574</v>
      </c>
      <c r="I126" s="346">
        <f t="shared" si="37"/>
        <v>30.129227100623574</v>
      </c>
      <c r="J126" s="346">
        <f t="shared" si="37"/>
        <v>-3.0963453858033674</v>
      </c>
      <c r="K126" s="346">
        <f t="shared" si="37"/>
        <v>0</v>
      </c>
      <c r="L126" s="346">
        <f t="shared" si="37"/>
        <v>0</v>
      </c>
      <c r="M126" s="343">
        <f t="shared" si="43"/>
        <v>27.032881714820206</v>
      </c>
      <c r="N126" s="346">
        <f t="shared" si="38"/>
        <v>27.032881714820206</v>
      </c>
      <c r="O126" s="346">
        <f t="shared" si="38"/>
        <v>-3.0963453858033674</v>
      </c>
      <c r="P126" s="346">
        <f t="shared" si="38"/>
        <v>0</v>
      </c>
      <c r="Q126" s="346">
        <f t="shared" si="38"/>
        <v>0</v>
      </c>
      <c r="R126" s="346">
        <f t="shared" si="44"/>
        <v>23.936536329016839</v>
      </c>
      <c r="S126" s="346">
        <f t="shared" si="39"/>
        <v>23.936536329016839</v>
      </c>
      <c r="T126" s="346">
        <f t="shared" si="39"/>
        <v>-3.0963453858033674</v>
      </c>
      <c r="U126" s="346">
        <f t="shared" si="39"/>
        <v>0</v>
      </c>
      <c r="V126" s="346">
        <f t="shared" si="39"/>
        <v>0</v>
      </c>
      <c r="W126" s="343">
        <f t="shared" si="45"/>
        <v>20.840190943213472</v>
      </c>
    </row>
    <row r="127" spans="2:23" x14ac:dyDescent="0.3">
      <c r="B127" s="90">
        <f t="shared" si="46"/>
        <v>6</v>
      </c>
      <c r="C127" s="432" t="s">
        <v>256</v>
      </c>
      <c r="D127" s="346">
        <f t="shared" si="40"/>
        <v>43.700508112979946</v>
      </c>
      <c r="E127" s="346">
        <f t="shared" si="41"/>
        <v>-5.0847731768204953</v>
      </c>
      <c r="F127" s="346">
        <f t="shared" si="41"/>
        <v>0</v>
      </c>
      <c r="G127" s="346">
        <f t="shared" si="41"/>
        <v>0</v>
      </c>
      <c r="H127" s="346">
        <f t="shared" si="42"/>
        <v>38.615734936159448</v>
      </c>
      <c r="I127" s="346">
        <f t="shared" si="37"/>
        <v>38.615734936159441</v>
      </c>
      <c r="J127" s="346">
        <f t="shared" si="37"/>
        <v>-1.4527923362344259</v>
      </c>
      <c r="K127" s="346">
        <f t="shared" si="37"/>
        <v>0</v>
      </c>
      <c r="L127" s="346">
        <f t="shared" si="37"/>
        <v>0</v>
      </c>
      <c r="M127" s="343">
        <f t="shared" si="43"/>
        <v>37.162942599925017</v>
      </c>
      <c r="N127" s="346">
        <f t="shared" si="38"/>
        <v>37.162942599925003</v>
      </c>
      <c r="O127" s="346">
        <f t="shared" si="38"/>
        <v>3.2562076637655681</v>
      </c>
      <c r="P127" s="346">
        <f t="shared" si="38"/>
        <v>0</v>
      </c>
      <c r="Q127" s="346">
        <f t="shared" si="38"/>
        <v>0</v>
      </c>
      <c r="R127" s="346">
        <f t="shared" si="44"/>
        <v>40.419150263690568</v>
      </c>
      <c r="S127" s="346">
        <f t="shared" si="39"/>
        <v>40.419150263690597</v>
      </c>
      <c r="T127" s="346">
        <f t="shared" si="39"/>
        <v>-2.2837923362344328</v>
      </c>
      <c r="U127" s="346">
        <f t="shared" si="39"/>
        <v>0</v>
      </c>
      <c r="V127" s="346">
        <f t="shared" si="39"/>
        <v>0</v>
      </c>
      <c r="W127" s="343">
        <f t="shared" si="45"/>
        <v>38.135357927456162</v>
      </c>
    </row>
    <row r="128" spans="2:23" x14ac:dyDescent="0.3">
      <c r="B128" s="90">
        <f t="shared" si="46"/>
        <v>7</v>
      </c>
      <c r="C128" s="432" t="s">
        <v>850</v>
      </c>
      <c r="D128" s="346">
        <f t="shared" si="40"/>
        <v>1.9230140884310236</v>
      </c>
      <c r="E128" s="346">
        <f t="shared" si="41"/>
        <v>-0.45022007324979152</v>
      </c>
      <c r="F128" s="346">
        <f t="shared" si="41"/>
        <v>0</v>
      </c>
      <c r="G128" s="346">
        <f t="shared" si="41"/>
        <v>0</v>
      </c>
      <c r="H128" s="346">
        <f t="shared" si="42"/>
        <v>1.4727940151812322</v>
      </c>
      <c r="I128" s="346">
        <f t="shared" si="37"/>
        <v>1.4727940151812322</v>
      </c>
      <c r="J128" s="346">
        <f t="shared" si="37"/>
        <v>-0.45022007324979152</v>
      </c>
      <c r="K128" s="346">
        <f t="shared" si="37"/>
        <v>0</v>
      </c>
      <c r="L128" s="346">
        <f t="shared" si="37"/>
        <v>0</v>
      </c>
      <c r="M128" s="343">
        <f t="shared" si="43"/>
        <v>1.0225739419314408</v>
      </c>
      <c r="N128" s="346">
        <f t="shared" si="38"/>
        <v>1.0225739419314408</v>
      </c>
      <c r="O128" s="346">
        <f t="shared" si="38"/>
        <v>-0.45022007324979152</v>
      </c>
      <c r="P128" s="346">
        <f t="shared" si="38"/>
        <v>0</v>
      </c>
      <c r="Q128" s="346">
        <f t="shared" si="38"/>
        <v>0</v>
      </c>
      <c r="R128" s="346">
        <f t="shared" si="44"/>
        <v>0.57235386868164928</v>
      </c>
      <c r="S128" s="346">
        <f t="shared" si="39"/>
        <v>0.57235386868164939</v>
      </c>
      <c r="T128" s="346">
        <f t="shared" si="39"/>
        <v>-6.4446321153019695E-2</v>
      </c>
      <c r="U128" s="346">
        <f t="shared" si="39"/>
        <v>0</v>
      </c>
      <c r="V128" s="346">
        <f t="shared" si="39"/>
        <v>0</v>
      </c>
      <c r="W128" s="343">
        <f t="shared" si="45"/>
        <v>0.50790754752862965</v>
      </c>
    </row>
    <row r="129" spans="2:33" x14ac:dyDescent="0.3">
      <c r="B129" s="90">
        <f t="shared" si="46"/>
        <v>8</v>
      </c>
      <c r="C129" s="432" t="s">
        <v>851</v>
      </c>
      <c r="D129" s="346">
        <f t="shared" si="40"/>
        <v>5.6567312110193751E-2</v>
      </c>
      <c r="E129" s="346">
        <f t="shared" si="41"/>
        <v>-3.2436512591423002E-3</v>
      </c>
      <c r="F129" s="346">
        <f t="shared" si="41"/>
        <v>0</v>
      </c>
      <c r="G129" s="346">
        <f t="shared" si="41"/>
        <v>0</v>
      </c>
      <c r="H129" s="346">
        <f t="shared" si="42"/>
        <v>5.3323660851051453E-2</v>
      </c>
      <c r="I129" s="346">
        <f t="shared" si="37"/>
        <v>5.3323660851051453E-2</v>
      </c>
      <c r="J129" s="346">
        <f t="shared" si="37"/>
        <v>-3.2436512591423002E-3</v>
      </c>
      <c r="K129" s="346">
        <f t="shared" si="37"/>
        <v>0</v>
      </c>
      <c r="L129" s="346">
        <f t="shared" si="37"/>
        <v>0</v>
      </c>
      <c r="M129" s="343">
        <f t="shared" si="43"/>
        <v>5.0080009591909155E-2</v>
      </c>
      <c r="N129" s="346">
        <f t="shared" si="38"/>
        <v>5.0080009591909155E-2</v>
      </c>
      <c r="O129" s="346">
        <f t="shared" si="38"/>
        <v>-3.2436512591423002E-3</v>
      </c>
      <c r="P129" s="346">
        <f t="shared" si="38"/>
        <v>0</v>
      </c>
      <c r="Q129" s="346">
        <f t="shared" si="38"/>
        <v>0</v>
      </c>
      <c r="R129" s="346">
        <f t="shared" si="44"/>
        <v>4.6836358332766857E-2</v>
      </c>
      <c r="S129" s="346">
        <f t="shared" si="39"/>
        <v>4.683635833276685E-2</v>
      </c>
      <c r="T129" s="346">
        <f t="shared" si="39"/>
        <v>-3.2436512591423002E-3</v>
      </c>
      <c r="U129" s="346">
        <f t="shared" si="39"/>
        <v>0</v>
      </c>
      <c r="V129" s="346">
        <f t="shared" si="39"/>
        <v>0</v>
      </c>
      <c r="W129" s="343">
        <f t="shared" si="45"/>
        <v>4.3592707073624552E-2</v>
      </c>
    </row>
    <row r="130" spans="2:33" x14ac:dyDescent="0.3">
      <c r="B130" s="90">
        <f t="shared" si="46"/>
        <v>9</v>
      </c>
      <c r="C130" s="432" t="s">
        <v>852</v>
      </c>
      <c r="D130" s="346">
        <f t="shared" si="40"/>
        <v>-0.3910440176002814</v>
      </c>
      <c r="E130" s="346">
        <f t="shared" si="41"/>
        <v>0</v>
      </c>
      <c r="F130" s="346">
        <f t="shared" si="41"/>
        <v>0</v>
      </c>
      <c r="G130" s="346">
        <f t="shared" si="41"/>
        <v>0</v>
      </c>
      <c r="H130" s="346">
        <f t="shared" si="42"/>
        <v>-0.3910440176002814</v>
      </c>
      <c r="I130" s="346">
        <f t="shared" si="37"/>
        <v>-0.3910440176002814</v>
      </c>
      <c r="J130" s="346">
        <f t="shared" si="37"/>
        <v>0</v>
      </c>
      <c r="K130" s="346">
        <f t="shared" si="37"/>
        <v>0</v>
      </c>
      <c r="L130" s="346">
        <f t="shared" si="37"/>
        <v>0</v>
      </c>
      <c r="M130" s="343">
        <f t="shared" si="43"/>
        <v>-0.3910440176002814</v>
      </c>
      <c r="N130" s="346">
        <f t="shared" si="38"/>
        <v>-0.3910440176002814</v>
      </c>
      <c r="O130" s="346">
        <f t="shared" si="38"/>
        <v>0</v>
      </c>
      <c r="P130" s="346">
        <f t="shared" si="38"/>
        <v>0</v>
      </c>
      <c r="Q130" s="346">
        <f t="shared" si="38"/>
        <v>0</v>
      </c>
      <c r="R130" s="346">
        <f t="shared" si="44"/>
        <v>-0.3910440176002814</v>
      </c>
      <c r="S130" s="346">
        <f t="shared" si="39"/>
        <v>-0.3910440176002814</v>
      </c>
      <c r="T130" s="346">
        <f t="shared" si="39"/>
        <v>0</v>
      </c>
      <c r="U130" s="346">
        <f t="shared" si="39"/>
        <v>0</v>
      </c>
      <c r="V130" s="346">
        <f t="shared" si="39"/>
        <v>0</v>
      </c>
      <c r="W130" s="343">
        <f t="shared" si="45"/>
        <v>-0.3910440176002814</v>
      </c>
    </row>
    <row r="131" spans="2:33" x14ac:dyDescent="0.3">
      <c r="B131" s="90">
        <f t="shared" si="46"/>
        <v>10</v>
      </c>
      <c r="C131" s="432" t="s">
        <v>259</v>
      </c>
      <c r="D131" s="346">
        <f t="shared" si="40"/>
        <v>4.3663709999999911E-2</v>
      </c>
      <c r="E131" s="346">
        <f t="shared" si="41"/>
        <v>0</v>
      </c>
      <c r="F131" s="346">
        <f t="shared" si="41"/>
        <v>0</v>
      </c>
      <c r="G131" s="346">
        <f t="shared" si="41"/>
        <v>0</v>
      </c>
      <c r="H131" s="346">
        <f t="shared" si="42"/>
        <v>4.3663709999999911E-2</v>
      </c>
      <c r="I131" s="346">
        <f t="shared" si="37"/>
        <v>4.3663709999999911E-2</v>
      </c>
      <c r="J131" s="346">
        <f t="shared" si="37"/>
        <v>0</v>
      </c>
      <c r="K131" s="346">
        <f t="shared" si="37"/>
        <v>0</v>
      </c>
      <c r="L131" s="346">
        <f t="shared" si="37"/>
        <v>0</v>
      </c>
      <c r="M131" s="343">
        <f t="shared" si="43"/>
        <v>4.3663709999999911E-2</v>
      </c>
      <c r="N131" s="346">
        <f t="shared" si="38"/>
        <v>4.3663709999999911E-2</v>
      </c>
      <c r="O131" s="346">
        <f t="shared" si="38"/>
        <v>0</v>
      </c>
      <c r="P131" s="346">
        <f t="shared" si="38"/>
        <v>0</v>
      </c>
      <c r="Q131" s="346">
        <f t="shared" si="38"/>
        <v>0</v>
      </c>
      <c r="R131" s="346">
        <f t="shared" si="44"/>
        <v>4.3663709999999911E-2</v>
      </c>
      <c r="S131" s="346">
        <f t="shared" si="39"/>
        <v>4.3663709999999911E-2</v>
      </c>
      <c r="T131" s="346">
        <f t="shared" si="39"/>
        <v>0</v>
      </c>
      <c r="U131" s="346">
        <f t="shared" si="39"/>
        <v>0</v>
      </c>
      <c r="V131" s="346">
        <f t="shared" si="39"/>
        <v>0</v>
      </c>
      <c r="W131" s="343">
        <f t="shared" si="45"/>
        <v>4.3663709999999911E-2</v>
      </c>
    </row>
    <row r="132" spans="2:33" x14ac:dyDescent="0.3">
      <c r="B132" s="90">
        <f t="shared" si="46"/>
        <v>11</v>
      </c>
      <c r="C132" s="432" t="s">
        <v>260</v>
      </c>
      <c r="D132" s="346">
        <f t="shared" si="40"/>
        <v>7.6920207934257911E-2</v>
      </c>
      <c r="E132" s="346">
        <f t="shared" si="41"/>
        <v>-2.6865650342708077E-4</v>
      </c>
      <c r="F132" s="346">
        <f t="shared" si="41"/>
        <v>0</v>
      </c>
      <c r="G132" s="346">
        <f t="shared" si="41"/>
        <v>0</v>
      </c>
      <c r="H132" s="346">
        <f t="shared" si="42"/>
        <v>7.6651551430830828E-2</v>
      </c>
      <c r="I132" s="346">
        <f t="shared" si="37"/>
        <v>7.66515514308308E-2</v>
      </c>
      <c r="J132" s="346">
        <f t="shared" si="37"/>
        <v>0.17948100837044945</v>
      </c>
      <c r="K132" s="346">
        <f t="shared" si="37"/>
        <v>0</v>
      </c>
      <c r="L132" s="346">
        <f t="shared" si="37"/>
        <v>0</v>
      </c>
      <c r="M132" s="343">
        <f t="shared" si="43"/>
        <v>0.25613255980128025</v>
      </c>
      <c r="N132" s="346">
        <f t="shared" si="38"/>
        <v>0.25613255980128014</v>
      </c>
      <c r="O132" s="346">
        <f t="shared" si="38"/>
        <v>4.4833452370449445E-2</v>
      </c>
      <c r="P132" s="346">
        <f t="shared" si="38"/>
        <v>0</v>
      </c>
      <c r="Q132" s="346">
        <f t="shared" si="38"/>
        <v>0</v>
      </c>
      <c r="R132" s="346">
        <f t="shared" si="44"/>
        <v>0.30096601217172958</v>
      </c>
      <c r="S132" s="346">
        <f t="shared" si="39"/>
        <v>0.30096601217172958</v>
      </c>
      <c r="T132" s="346">
        <f t="shared" si="39"/>
        <v>-4.0519347629550562E-2</v>
      </c>
      <c r="U132" s="346">
        <f t="shared" si="39"/>
        <v>0</v>
      </c>
      <c r="V132" s="346">
        <f t="shared" si="39"/>
        <v>0</v>
      </c>
      <c r="W132" s="343">
        <f t="shared" si="45"/>
        <v>0.26044666454217902</v>
      </c>
    </row>
    <row r="133" spans="2:33" x14ac:dyDescent="0.3">
      <c r="B133" s="90">
        <f t="shared" si="46"/>
        <v>12</v>
      </c>
      <c r="C133" s="432" t="s">
        <v>261</v>
      </c>
      <c r="D133" s="346">
        <f t="shared" si="40"/>
        <v>0.85878209623181401</v>
      </c>
      <c r="E133" s="346">
        <f t="shared" si="41"/>
        <v>-0.13911228711053494</v>
      </c>
      <c r="F133" s="346">
        <f t="shared" si="41"/>
        <v>0</v>
      </c>
      <c r="G133" s="346">
        <f t="shared" si="41"/>
        <v>0</v>
      </c>
      <c r="H133" s="346">
        <f t="shared" si="42"/>
        <v>0.71966980912127909</v>
      </c>
      <c r="I133" s="346">
        <f t="shared" si="37"/>
        <v>0.71966980912127898</v>
      </c>
      <c r="J133" s="346">
        <f t="shared" si="37"/>
        <v>-7.1414737545302351E-2</v>
      </c>
      <c r="K133" s="346">
        <f t="shared" si="37"/>
        <v>0</v>
      </c>
      <c r="L133" s="346">
        <f t="shared" si="37"/>
        <v>0</v>
      </c>
      <c r="M133" s="343">
        <f t="shared" si="43"/>
        <v>0.64825507157597662</v>
      </c>
      <c r="N133" s="346">
        <f t="shared" si="38"/>
        <v>0.64825507157597673</v>
      </c>
      <c r="O133" s="346">
        <f t="shared" si="38"/>
        <v>-7.1414737545302365E-2</v>
      </c>
      <c r="P133" s="346">
        <f t="shared" si="38"/>
        <v>0</v>
      </c>
      <c r="Q133" s="346">
        <f t="shared" si="38"/>
        <v>0</v>
      </c>
      <c r="R133" s="346">
        <f t="shared" si="44"/>
        <v>0.57684033403067436</v>
      </c>
      <c r="S133" s="346">
        <f t="shared" si="39"/>
        <v>0.57684033403067447</v>
      </c>
      <c r="T133" s="346">
        <f t="shared" si="39"/>
        <v>-7.1414737545302392E-2</v>
      </c>
      <c r="U133" s="346">
        <f t="shared" si="39"/>
        <v>0</v>
      </c>
      <c r="V133" s="346">
        <f t="shared" si="39"/>
        <v>0</v>
      </c>
      <c r="W133" s="343">
        <f t="shared" si="45"/>
        <v>0.50542559648537211</v>
      </c>
    </row>
    <row r="134" spans="2:33" x14ac:dyDescent="0.3">
      <c r="B134" s="90">
        <f t="shared" si="46"/>
        <v>13</v>
      </c>
      <c r="C134" s="450" t="s">
        <v>899</v>
      </c>
      <c r="D134" s="346">
        <f t="shared" si="40"/>
        <v>0</v>
      </c>
      <c r="E134" s="346">
        <f t="shared" si="41"/>
        <v>0</v>
      </c>
      <c r="F134" s="346">
        <f t="shared" si="41"/>
        <v>0</v>
      </c>
      <c r="G134" s="346">
        <f t="shared" si="41"/>
        <v>0</v>
      </c>
      <c r="H134" s="346">
        <f t="shared" si="42"/>
        <v>0</v>
      </c>
      <c r="I134" s="346">
        <f t="shared" si="37"/>
        <v>0</v>
      </c>
      <c r="J134" s="346">
        <f t="shared" si="37"/>
        <v>0</v>
      </c>
      <c r="K134" s="346">
        <f t="shared" si="37"/>
        <v>0</v>
      </c>
      <c r="L134" s="346">
        <f t="shared" si="37"/>
        <v>0</v>
      </c>
      <c r="M134" s="343">
        <f t="shared" si="43"/>
        <v>0</v>
      </c>
      <c r="N134" s="346">
        <f t="shared" si="38"/>
        <v>0</v>
      </c>
      <c r="O134" s="346">
        <f t="shared" si="38"/>
        <v>0</v>
      </c>
      <c r="P134" s="346">
        <f t="shared" si="38"/>
        <v>0</v>
      </c>
      <c r="Q134" s="346">
        <f t="shared" si="38"/>
        <v>0</v>
      </c>
      <c r="R134" s="346">
        <f t="shared" si="44"/>
        <v>0</v>
      </c>
      <c r="S134" s="346">
        <f t="shared" si="39"/>
        <v>0</v>
      </c>
      <c r="T134" s="346">
        <f t="shared" si="39"/>
        <v>0</v>
      </c>
      <c r="U134" s="346">
        <f t="shared" si="39"/>
        <v>0</v>
      </c>
      <c r="V134" s="346">
        <f t="shared" si="39"/>
        <v>0</v>
      </c>
      <c r="W134" s="343">
        <f t="shared" si="45"/>
        <v>0</v>
      </c>
    </row>
    <row r="135" spans="2:33" x14ac:dyDescent="0.3">
      <c r="B135" s="90">
        <f t="shared" si="46"/>
        <v>14</v>
      </c>
      <c r="C135" s="450" t="s">
        <v>900</v>
      </c>
      <c r="D135" s="346">
        <f t="shared" si="40"/>
        <v>0</v>
      </c>
      <c r="E135" s="346">
        <f t="shared" si="41"/>
        <v>0.23944828795</v>
      </c>
      <c r="F135" s="346">
        <f t="shared" si="41"/>
        <v>0.28014050000000001</v>
      </c>
      <c r="G135" s="346">
        <f t="shared" si="41"/>
        <v>0</v>
      </c>
      <c r="H135" s="346">
        <f t="shared" si="42"/>
        <v>-4.069221205000001E-2</v>
      </c>
      <c r="I135" s="346">
        <f t="shared" si="37"/>
        <v>-4.069221205000001E-2</v>
      </c>
      <c r="J135" s="346">
        <f t="shared" si="37"/>
        <v>9.1020954000000012E-3</v>
      </c>
      <c r="K135" s="346">
        <f t="shared" si="37"/>
        <v>0</v>
      </c>
      <c r="L135" s="346">
        <f t="shared" si="37"/>
        <v>0</v>
      </c>
      <c r="M135" s="343">
        <f t="shared" si="43"/>
        <v>-3.1590116650000007E-2</v>
      </c>
      <c r="N135" s="346">
        <f t="shared" si="38"/>
        <v>-3.1590116650000014E-2</v>
      </c>
      <c r="O135" s="346">
        <f t="shared" si="38"/>
        <v>2.2331679000000019E-3</v>
      </c>
      <c r="P135" s="346">
        <f t="shared" si="38"/>
        <v>0</v>
      </c>
      <c r="Q135" s="346">
        <f t="shared" si="38"/>
        <v>0</v>
      </c>
      <c r="R135" s="346">
        <f t="shared" si="44"/>
        <v>-2.9356948750000011E-2</v>
      </c>
      <c r="S135" s="346">
        <f t="shared" si="39"/>
        <v>-2.9356948750000007E-2</v>
      </c>
      <c r="T135" s="346">
        <f t="shared" si="39"/>
        <v>2.2331679000000019E-3</v>
      </c>
      <c r="U135" s="346">
        <f t="shared" si="39"/>
        <v>0</v>
      </c>
      <c r="V135" s="346">
        <f t="shared" si="39"/>
        <v>0</v>
      </c>
      <c r="W135" s="343">
        <f t="shared" si="45"/>
        <v>-2.7123780850000005E-2</v>
      </c>
    </row>
    <row r="136" spans="2:33" x14ac:dyDescent="0.3">
      <c r="B136" s="90">
        <f t="shared" si="46"/>
        <v>15</v>
      </c>
      <c r="C136" s="450" t="s">
        <v>901</v>
      </c>
      <c r="D136" s="346">
        <f t="shared" si="40"/>
        <v>0</v>
      </c>
      <c r="E136" s="346">
        <f t="shared" si="41"/>
        <v>0</v>
      </c>
      <c r="F136" s="346">
        <f t="shared" si="41"/>
        <v>0</v>
      </c>
      <c r="G136" s="346">
        <f t="shared" si="41"/>
        <v>0</v>
      </c>
      <c r="H136" s="346">
        <f t="shared" si="42"/>
        <v>0</v>
      </c>
      <c r="I136" s="346">
        <f t="shared" si="37"/>
        <v>0</v>
      </c>
      <c r="J136" s="346">
        <f t="shared" si="37"/>
        <v>0</v>
      </c>
      <c r="K136" s="346">
        <f t="shared" si="37"/>
        <v>0</v>
      </c>
      <c r="L136" s="346">
        <f t="shared" si="37"/>
        <v>0</v>
      </c>
      <c r="M136" s="343">
        <f t="shared" si="43"/>
        <v>0</v>
      </c>
      <c r="N136" s="346">
        <f t="shared" si="38"/>
        <v>0</v>
      </c>
      <c r="O136" s="346">
        <f t="shared" si="38"/>
        <v>0</v>
      </c>
      <c r="P136" s="346">
        <f t="shared" si="38"/>
        <v>0</v>
      </c>
      <c r="Q136" s="346">
        <f t="shared" si="38"/>
        <v>0</v>
      </c>
      <c r="R136" s="346">
        <f t="shared" si="44"/>
        <v>0</v>
      </c>
      <c r="S136" s="346">
        <f t="shared" si="39"/>
        <v>0</v>
      </c>
      <c r="T136" s="346">
        <f t="shared" si="39"/>
        <v>0</v>
      </c>
      <c r="U136" s="346">
        <f t="shared" si="39"/>
        <v>0</v>
      </c>
      <c r="V136" s="346">
        <f t="shared" si="39"/>
        <v>0</v>
      </c>
      <c r="W136" s="343">
        <f t="shared" si="45"/>
        <v>0</v>
      </c>
    </row>
    <row r="137" spans="2:33" x14ac:dyDescent="0.3">
      <c r="B137" s="90">
        <f t="shared" si="46"/>
        <v>16</v>
      </c>
      <c r="C137" s="450" t="s">
        <v>853</v>
      </c>
      <c r="D137" s="346">
        <f t="shared" si="40"/>
        <v>0</v>
      </c>
      <c r="E137" s="346">
        <f t="shared" si="41"/>
        <v>0</v>
      </c>
      <c r="F137" s="346">
        <f t="shared" si="41"/>
        <v>0</v>
      </c>
      <c r="G137" s="346">
        <f t="shared" si="41"/>
        <v>0</v>
      </c>
      <c r="H137" s="346">
        <f t="shared" si="42"/>
        <v>0</v>
      </c>
      <c r="I137" s="346">
        <f t="shared" si="37"/>
        <v>0</v>
      </c>
      <c r="J137" s="346">
        <f t="shared" si="37"/>
        <v>0</v>
      </c>
      <c r="K137" s="346">
        <f t="shared" si="37"/>
        <v>0</v>
      </c>
      <c r="L137" s="346">
        <f t="shared" si="37"/>
        <v>0</v>
      </c>
      <c r="M137" s="343">
        <f t="shared" si="43"/>
        <v>0</v>
      </c>
      <c r="N137" s="346">
        <f t="shared" si="38"/>
        <v>0</v>
      </c>
      <c r="O137" s="346">
        <f t="shared" si="38"/>
        <v>0</v>
      </c>
      <c r="P137" s="346">
        <f t="shared" si="38"/>
        <v>0</v>
      </c>
      <c r="Q137" s="346">
        <f t="shared" si="38"/>
        <v>0</v>
      </c>
      <c r="R137" s="346">
        <f t="shared" si="44"/>
        <v>0</v>
      </c>
      <c r="S137" s="346">
        <f t="shared" si="39"/>
        <v>0</v>
      </c>
      <c r="T137" s="346">
        <f t="shared" si="39"/>
        <v>0</v>
      </c>
      <c r="U137" s="346">
        <f t="shared" si="39"/>
        <v>0</v>
      </c>
      <c r="V137" s="346">
        <f t="shared" si="39"/>
        <v>0</v>
      </c>
      <c r="W137" s="343">
        <f t="shared" si="45"/>
        <v>0</v>
      </c>
    </row>
    <row r="138" spans="2:33" x14ac:dyDescent="0.3">
      <c r="B138" s="90">
        <f t="shared" si="46"/>
        <v>17</v>
      </c>
      <c r="C138" s="450" t="s">
        <v>902</v>
      </c>
      <c r="D138" s="346">
        <f t="shared" si="40"/>
        <v>0</v>
      </c>
      <c r="E138" s="346">
        <f t="shared" si="41"/>
        <v>0</v>
      </c>
      <c r="F138" s="346">
        <f t="shared" si="41"/>
        <v>0</v>
      </c>
      <c r="G138" s="346">
        <f t="shared" si="41"/>
        <v>0</v>
      </c>
      <c r="H138" s="346">
        <f t="shared" si="42"/>
        <v>0</v>
      </c>
      <c r="I138" s="346">
        <f t="shared" si="37"/>
        <v>0</v>
      </c>
      <c r="J138" s="346">
        <f t="shared" si="37"/>
        <v>0</v>
      </c>
      <c r="K138" s="346">
        <f t="shared" si="37"/>
        <v>0</v>
      </c>
      <c r="L138" s="346">
        <f t="shared" si="37"/>
        <v>0</v>
      </c>
      <c r="M138" s="343">
        <f t="shared" si="43"/>
        <v>0</v>
      </c>
      <c r="N138" s="346">
        <f t="shared" si="38"/>
        <v>0</v>
      </c>
      <c r="O138" s="346">
        <f t="shared" si="38"/>
        <v>0</v>
      </c>
      <c r="P138" s="346">
        <f t="shared" si="38"/>
        <v>0</v>
      </c>
      <c r="Q138" s="346">
        <f t="shared" si="38"/>
        <v>0</v>
      </c>
      <c r="R138" s="346">
        <f t="shared" si="44"/>
        <v>0</v>
      </c>
      <c r="S138" s="346">
        <f t="shared" si="39"/>
        <v>0</v>
      </c>
      <c r="T138" s="346">
        <f t="shared" si="39"/>
        <v>0</v>
      </c>
      <c r="U138" s="346">
        <f t="shared" si="39"/>
        <v>0</v>
      </c>
      <c r="V138" s="346">
        <f t="shared" si="39"/>
        <v>0</v>
      </c>
      <c r="W138" s="343">
        <f t="shared" si="45"/>
        <v>0</v>
      </c>
    </row>
    <row r="139" spans="2:33" ht="16" x14ac:dyDescent="0.3">
      <c r="B139" s="78"/>
      <c r="C139" s="92" t="s">
        <v>271</v>
      </c>
      <c r="D139" s="345">
        <f>SUM(D122:D137)</f>
        <v>93.006507266798451</v>
      </c>
      <c r="E139" s="345">
        <f t="shared" ref="E139:W139" si="47">SUM(E122:E137)</f>
        <v>-8.8336630488930155</v>
      </c>
      <c r="F139" s="345">
        <f t="shared" si="47"/>
        <v>0.28014050000000001</v>
      </c>
      <c r="G139" s="345">
        <f t="shared" si="47"/>
        <v>0</v>
      </c>
      <c r="H139" s="345">
        <f t="shared" si="47"/>
        <v>83.89270371790542</v>
      </c>
      <c r="I139" s="345">
        <f t="shared" si="47"/>
        <v>83.89270371790542</v>
      </c>
      <c r="J139" s="345">
        <f t="shared" si="47"/>
        <v>-4.854401695264329</v>
      </c>
      <c r="K139" s="345">
        <f t="shared" si="47"/>
        <v>0</v>
      </c>
      <c r="L139" s="345">
        <f t="shared" si="47"/>
        <v>0</v>
      </c>
      <c r="M139" s="345">
        <f t="shared" si="47"/>
        <v>79.038302022641105</v>
      </c>
      <c r="N139" s="345">
        <f t="shared" si="47"/>
        <v>79.038302022641091</v>
      </c>
      <c r="O139" s="345">
        <f t="shared" si="47"/>
        <v>-0.48126017876433563</v>
      </c>
      <c r="P139" s="345">
        <f t="shared" si="47"/>
        <v>0</v>
      </c>
      <c r="Q139" s="345">
        <f t="shared" si="47"/>
        <v>0</v>
      </c>
      <c r="R139" s="345">
        <f t="shared" si="47"/>
        <v>78.557041843876732</v>
      </c>
      <c r="S139" s="345">
        <f t="shared" si="47"/>
        <v>78.55704184387676</v>
      </c>
      <c r="T139" s="345">
        <f t="shared" si="47"/>
        <v>-5.7208392266675645</v>
      </c>
      <c r="U139" s="345">
        <f t="shared" si="47"/>
        <v>0</v>
      </c>
      <c r="V139" s="345">
        <f t="shared" si="47"/>
        <v>0</v>
      </c>
      <c r="W139" s="345">
        <f t="shared" si="47"/>
        <v>72.836202617209182</v>
      </c>
    </row>
    <row r="140" spans="2:33" ht="16" x14ac:dyDescent="0.3">
      <c r="B140" s="258"/>
      <c r="C140" s="260"/>
      <c r="D140" s="260"/>
      <c r="E140" s="260"/>
      <c r="F140" s="260"/>
      <c r="G140" s="260"/>
      <c r="H140" s="260"/>
      <c r="I140" s="258"/>
      <c r="J140" s="258"/>
      <c r="K140" s="258"/>
      <c r="L140" s="258"/>
      <c r="M140" s="258"/>
      <c r="N140" s="258"/>
      <c r="O140" s="258"/>
      <c r="P140" s="258"/>
      <c r="Q140" s="258"/>
      <c r="R140" s="258"/>
      <c r="S140" s="43"/>
      <c r="T140" s="43"/>
      <c r="U140" s="43"/>
      <c r="V140" s="43"/>
      <c r="W140" s="43"/>
      <c r="X140" s="43"/>
      <c r="Y140" s="43"/>
      <c r="Z140" s="43"/>
      <c r="AA140" s="43"/>
      <c r="AB140" s="43"/>
      <c r="AC140" s="43"/>
      <c r="AD140" s="43"/>
      <c r="AE140" s="43"/>
      <c r="AF140" s="43"/>
      <c r="AG140" s="43"/>
    </row>
    <row r="141" spans="2:33" ht="16" x14ac:dyDescent="0.3">
      <c r="B141" s="257" t="s">
        <v>599</v>
      </c>
      <c r="C141" s="262"/>
      <c r="D141" s="262"/>
      <c r="E141" s="262"/>
      <c r="F141" s="262"/>
      <c r="G141" s="260"/>
      <c r="H141" s="260"/>
      <c r="I141" s="258"/>
      <c r="J141" s="258"/>
      <c r="K141" s="258"/>
      <c r="L141" s="258"/>
      <c r="M141" s="258"/>
      <c r="N141" s="258"/>
      <c r="O141" s="258"/>
      <c r="P141" s="258"/>
      <c r="Q141" s="258"/>
      <c r="R141" s="258"/>
      <c r="S141" s="43"/>
      <c r="T141" s="43"/>
      <c r="U141" s="43"/>
      <c r="V141" s="43"/>
      <c r="W141" s="43"/>
      <c r="X141" s="43"/>
      <c r="Y141" s="43"/>
      <c r="Z141" s="43"/>
      <c r="AA141" s="43"/>
      <c r="AB141" s="43"/>
      <c r="AC141" s="43"/>
      <c r="AD141" s="43"/>
      <c r="AE141" s="43"/>
      <c r="AF141" s="43"/>
      <c r="AG141" s="43"/>
    </row>
    <row r="142" spans="2:33" ht="16" x14ac:dyDescent="0.3">
      <c r="B142" s="258"/>
      <c r="C142" s="260"/>
      <c r="D142" s="260"/>
      <c r="E142" s="260"/>
      <c r="F142" s="260"/>
      <c r="G142" s="260"/>
      <c r="H142" s="260"/>
      <c r="I142" s="258"/>
      <c r="J142" s="258"/>
      <c r="K142" s="258"/>
      <c r="L142" s="258"/>
      <c r="M142" s="258"/>
      <c r="N142" s="258"/>
      <c r="O142" s="258"/>
      <c r="P142" s="258"/>
      <c r="Q142" s="258"/>
      <c r="R142" s="258"/>
      <c r="S142" s="43"/>
      <c r="T142" s="43"/>
      <c r="U142" s="43"/>
      <c r="V142" s="43"/>
      <c r="W142" s="43"/>
      <c r="X142" s="43"/>
      <c r="Y142" s="43"/>
      <c r="Z142" s="43"/>
      <c r="AA142" s="43"/>
      <c r="AB142" s="43"/>
      <c r="AC142" s="43"/>
      <c r="AD142" s="43"/>
      <c r="AE142" s="43"/>
      <c r="AF142" s="43"/>
      <c r="AG142" s="43"/>
    </row>
    <row r="143" spans="2:33" ht="15" customHeight="1" x14ac:dyDescent="0.3">
      <c r="B143" s="258"/>
      <c r="C143" s="260"/>
      <c r="D143" s="8"/>
      <c r="E143" s="8"/>
      <c r="F143" s="8"/>
      <c r="G143" s="8"/>
      <c r="H143" s="8"/>
      <c r="I143" s="1"/>
      <c r="J143" s="42"/>
      <c r="K143" s="1"/>
      <c r="L143" s="1"/>
      <c r="M143" s="42"/>
      <c r="N143" s="42"/>
      <c r="O143" s="1"/>
      <c r="P143" s="1"/>
      <c r="Q143" s="1"/>
      <c r="AG143" s="255" t="s">
        <v>10</v>
      </c>
    </row>
    <row r="144" spans="2:33" ht="13.75" customHeight="1" x14ac:dyDescent="0.3">
      <c r="B144" s="1639" t="s">
        <v>340</v>
      </c>
      <c r="C144" s="1639" t="s">
        <v>38</v>
      </c>
      <c r="D144" s="1766" t="s">
        <v>1068</v>
      </c>
      <c r="E144" s="1767"/>
      <c r="F144" s="1767"/>
      <c r="G144" s="1767"/>
      <c r="H144" s="1768"/>
      <c r="I144" s="1766" t="s">
        <v>1069</v>
      </c>
      <c r="J144" s="1767"/>
      <c r="K144" s="1767"/>
      <c r="L144" s="1767"/>
      <c r="M144" s="1768"/>
      <c r="N144" s="1758" t="s">
        <v>1070</v>
      </c>
      <c r="O144" s="1758"/>
      <c r="P144" s="1758"/>
      <c r="Q144" s="1758"/>
      <c r="R144" s="1758"/>
      <c r="S144" s="1758" t="s">
        <v>1071</v>
      </c>
      <c r="T144" s="1758"/>
      <c r="U144" s="1758"/>
      <c r="V144" s="1758"/>
      <c r="W144" s="1758"/>
    </row>
    <row r="145" spans="2:23" x14ac:dyDescent="0.3">
      <c r="B145" s="1639"/>
      <c r="C145" s="1639"/>
      <c r="D145" s="1759" t="s">
        <v>21</v>
      </c>
      <c r="E145" s="1760"/>
      <c r="F145" s="1760"/>
      <c r="G145" s="1760"/>
      <c r="H145" s="1761"/>
      <c r="I145" s="1759" t="s">
        <v>21</v>
      </c>
      <c r="J145" s="1760"/>
      <c r="K145" s="1760"/>
      <c r="L145" s="1760"/>
      <c r="M145" s="1761"/>
      <c r="N145" s="1762" t="s">
        <v>21</v>
      </c>
      <c r="O145" s="1763"/>
      <c r="P145" s="1763"/>
      <c r="Q145" s="1763"/>
      <c r="R145" s="1763"/>
      <c r="S145" s="1762" t="s">
        <v>21</v>
      </c>
      <c r="T145" s="1763"/>
      <c r="U145" s="1763"/>
      <c r="V145" s="1763"/>
      <c r="W145" s="1763"/>
    </row>
    <row r="146" spans="2:23" ht="42" x14ac:dyDescent="0.3">
      <c r="B146" s="1639"/>
      <c r="C146" s="1639"/>
      <c r="D146" s="1030" t="s">
        <v>267</v>
      </c>
      <c r="E146" s="1030" t="s">
        <v>268</v>
      </c>
      <c r="F146" s="259" t="s">
        <v>274</v>
      </c>
      <c r="G146" s="1024" t="s">
        <v>586</v>
      </c>
      <c r="H146" s="1030" t="s">
        <v>270</v>
      </c>
      <c r="I146" s="1030" t="s">
        <v>267</v>
      </c>
      <c r="J146" s="1030" t="s">
        <v>268</v>
      </c>
      <c r="K146" s="1030" t="s">
        <v>269</v>
      </c>
      <c r="L146" s="1024" t="s">
        <v>586</v>
      </c>
      <c r="M146" s="1030" t="s">
        <v>270</v>
      </c>
      <c r="N146" s="1030" t="s">
        <v>267</v>
      </c>
      <c r="O146" s="1030" t="s">
        <v>268</v>
      </c>
      <c r="P146" s="1030" t="s">
        <v>269</v>
      </c>
      <c r="Q146" s="1024" t="s">
        <v>586</v>
      </c>
      <c r="R146" s="1030" t="s">
        <v>270</v>
      </c>
      <c r="S146" s="1030" t="s">
        <v>267</v>
      </c>
      <c r="T146" s="1030" t="s">
        <v>268</v>
      </c>
      <c r="U146" s="1030" t="s">
        <v>269</v>
      </c>
      <c r="V146" s="1024" t="s">
        <v>586</v>
      </c>
      <c r="W146" s="1030" t="s">
        <v>270</v>
      </c>
    </row>
    <row r="147" spans="2:23" ht="28" x14ac:dyDescent="0.3">
      <c r="B147" s="256"/>
      <c r="C147" s="256"/>
      <c r="D147" s="256" t="s">
        <v>662</v>
      </c>
      <c r="E147" s="256" t="s">
        <v>663</v>
      </c>
      <c r="F147" s="256" t="s">
        <v>664</v>
      </c>
      <c r="G147" s="256" t="s">
        <v>665</v>
      </c>
      <c r="H147" s="256" t="s">
        <v>666</v>
      </c>
      <c r="I147" s="256" t="s">
        <v>662</v>
      </c>
      <c r="J147" s="256" t="s">
        <v>663</v>
      </c>
      <c r="K147" s="256" t="s">
        <v>664</v>
      </c>
      <c r="L147" s="256" t="s">
        <v>665</v>
      </c>
      <c r="M147" s="256" t="s">
        <v>666</v>
      </c>
      <c r="N147" s="256" t="s">
        <v>662</v>
      </c>
      <c r="O147" s="256" t="s">
        <v>663</v>
      </c>
      <c r="P147" s="256" t="s">
        <v>664</v>
      </c>
      <c r="Q147" s="256" t="s">
        <v>665</v>
      </c>
      <c r="R147" s="256" t="s">
        <v>666</v>
      </c>
      <c r="S147" s="256" t="s">
        <v>662</v>
      </c>
      <c r="T147" s="256" t="s">
        <v>663</v>
      </c>
      <c r="U147" s="256" t="s">
        <v>664</v>
      </c>
      <c r="V147" s="256" t="s">
        <v>665</v>
      </c>
      <c r="W147" s="256" t="s">
        <v>666</v>
      </c>
    </row>
    <row r="148" spans="2:23" x14ac:dyDescent="0.3">
      <c r="B148" s="90">
        <v>1</v>
      </c>
      <c r="C148" s="432" t="s">
        <v>845</v>
      </c>
      <c r="D148" s="346">
        <f t="shared" ref="D148:G163" si="48">D40-D95</f>
        <v>3.6007118999999994</v>
      </c>
      <c r="E148" s="346">
        <f t="shared" si="48"/>
        <v>0</v>
      </c>
      <c r="F148" s="346">
        <f t="shared" si="48"/>
        <v>0</v>
      </c>
      <c r="G148" s="346">
        <f t="shared" si="48"/>
        <v>0</v>
      </c>
      <c r="H148" s="343">
        <f>D148+E148-F148-G148</f>
        <v>3.6007118999999994</v>
      </c>
      <c r="I148" s="428">
        <f>H148</f>
        <v>3.6007118999999994</v>
      </c>
      <c r="J148" s="451"/>
      <c r="K148" s="428"/>
      <c r="L148" s="451"/>
      <c r="M148" s="428">
        <f>I148+J148-K148-L148</f>
        <v>3.6007118999999994</v>
      </c>
      <c r="N148" s="428">
        <f>M148</f>
        <v>3.6007118999999994</v>
      </c>
      <c r="O148" s="451"/>
      <c r="P148" s="428"/>
      <c r="Q148" s="451"/>
      <c r="R148" s="428">
        <f>N148+O148-P148-Q148</f>
        <v>3.6007118999999994</v>
      </c>
      <c r="S148" s="428">
        <f>R148</f>
        <v>3.6007118999999994</v>
      </c>
      <c r="T148" s="451"/>
      <c r="U148" s="428"/>
      <c r="V148" s="451"/>
      <c r="W148" s="428">
        <f>S148+T148-U148-V148</f>
        <v>3.6007118999999994</v>
      </c>
    </row>
    <row r="149" spans="2:23" x14ac:dyDescent="0.3">
      <c r="B149" s="90">
        <f>B148+1</f>
        <v>2</v>
      </c>
      <c r="C149" s="432" t="s">
        <v>846</v>
      </c>
      <c r="D149" s="346">
        <f t="shared" si="48"/>
        <v>1.8916270204599712</v>
      </c>
      <c r="E149" s="346">
        <f t="shared" si="48"/>
        <v>-9.2653402177322874E-3</v>
      </c>
      <c r="F149" s="346">
        <f t="shared" si="48"/>
        <v>0</v>
      </c>
      <c r="G149" s="346">
        <f t="shared" si="48"/>
        <v>0</v>
      </c>
      <c r="H149" s="343">
        <f t="shared" ref="H149:H164" si="49">D149+E149-F149-G149</f>
        <v>1.8823616802422389</v>
      </c>
      <c r="I149" s="428">
        <f t="shared" ref="I149:I164" si="50">H149</f>
        <v>1.8823616802422389</v>
      </c>
      <c r="J149" s="451"/>
      <c r="K149" s="428"/>
      <c r="L149" s="451"/>
      <c r="M149" s="428">
        <f t="shared" ref="M149:M164" si="51">I149+J149-K149-L149</f>
        <v>1.8823616802422389</v>
      </c>
      <c r="N149" s="428">
        <f t="shared" ref="N149:N164" si="52">M149</f>
        <v>1.8823616802422389</v>
      </c>
      <c r="O149" s="451"/>
      <c r="P149" s="428"/>
      <c r="Q149" s="451"/>
      <c r="R149" s="428">
        <f t="shared" ref="R149:R164" si="53">N149+O149-P149-Q149</f>
        <v>1.8823616802422389</v>
      </c>
      <c r="S149" s="428">
        <f t="shared" ref="S149:S164" si="54">R149</f>
        <v>1.8823616802422389</v>
      </c>
      <c r="T149" s="451"/>
      <c r="U149" s="428"/>
      <c r="V149" s="451"/>
      <c r="W149" s="428">
        <f t="shared" ref="W149:W164" si="55">S149+T149-U149-V149</f>
        <v>1.8823616802422389</v>
      </c>
    </row>
    <row r="150" spans="2:23" x14ac:dyDescent="0.3">
      <c r="B150" s="90">
        <f t="shared" ref="B150:B164" si="56">B149+1</f>
        <v>3</v>
      </c>
      <c r="C150" s="432" t="s">
        <v>847</v>
      </c>
      <c r="D150" s="346">
        <f t="shared" si="48"/>
        <v>0</v>
      </c>
      <c r="E150" s="346">
        <f t="shared" si="48"/>
        <v>0</v>
      </c>
      <c r="F150" s="346">
        <f t="shared" si="48"/>
        <v>0</v>
      </c>
      <c r="G150" s="346">
        <f t="shared" si="48"/>
        <v>0</v>
      </c>
      <c r="H150" s="343">
        <f t="shared" si="49"/>
        <v>0</v>
      </c>
      <c r="I150" s="428">
        <f t="shared" si="50"/>
        <v>0</v>
      </c>
      <c r="J150" s="451"/>
      <c r="K150" s="428"/>
      <c r="L150" s="451"/>
      <c r="M150" s="428">
        <f t="shared" si="51"/>
        <v>0</v>
      </c>
      <c r="N150" s="428">
        <f t="shared" si="52"/>
        <v>0</v>
      </c>
      <c r="O150" s="451"/>
      <c r="P150" s="428"/>
      <c r="Q150" s="451"/>
      <c r="R150" s="428">
        <f t="shared" si="53"/>
        <v>0</v>
      </c>
      <c r="S150" s="428">
        <f t="shared" si="54"/>
        <v>0</v>
      </c>
      <c r="T150" s="451"/>
      <c r="U150" s="428"/>
      <c r="V150" s="451"/>
      <c r="W150" s="428">
        <f t="shared" si="55"/>
        <v>0</v>
      </c>
    </row>
    <row r="151" spans="2:23" x14ac:dyDescent="0.3">
      <c r="B151" s="90">
        <f t="shared" si="56"/>
        <v>4</v>
      </c>
      <c r="C151" s="432" t="s">
        <v>848</v>
      </c>
      <c r="D151" s="346">
        <f t="shared" si="48"/>
        <v>7.4254463989000712</v>
      </c>
      <c r="E151" s="346">
        <f t="shared" si="48"/>
        <v>-0.15404527472501783</v>
      </c>
      <c r="F151" s="346">
        <f t="shared" si="48"/>
        <v>0</v>
      </c>
      <c r="G151" s="346">
        <f t="shared" si="48"/>
        <v>0</v>
      </c>
      <c r="H151" s="343">
        <f t="shared" si="49"/>
        <v>7.2714011241750534</v>
      </c>
      <c r="I151" s="428">
        <f t="shared" si="50"/>
        <v>7.2714011241750534</v>
      </c>
      <c r="J151" s="451"/>
      <c r="K151" s="428"/>
      <c r="L151" s="451"/>
      <c r="M151" s="428">
        <f t="shared" si="51"/>
        <v>7.2714011241750534</v>
      </c>
      <c r="N151" s="428">
        <f t="shared" si="52"/>
        <v>7.2714011241750534</v>
      </c>
      <c r="O151" s="451"/>
      <c r="P151" s="428"/>
      <c r="Q151" s="451"/>
      <c r="R151" s="428">
        <f t="shared" si="53"/>
        <v>7.2714011241750534</v>
      </c>
      <c r="S151" s="428">
        <f t="shared" si="54"/>
        <v>7.2714011241750534</v>
      </c>
      <c r="T151" s="451"/>
      <c r="U151" s="428"/>
      <c r="V151" s="451"/>
      <c r="W151" s="428">
        <f t="shared" si="55"/>
        <v>7.2714011241750534</v>
      </c>
    </row>
    <row r="152" spans="2:23" x14ac:dyDescent="0.3">
      <c r="B152" s="90">
        <f t="shared" si="56"/>
        <v>5</v>
      </c>
      <c r="C152" s="432" t="s">
        <v>849</v>
      </c>
      <c r="D152" s="346">
        <f t="shared" si="48"/>
        <v>20.840190943213472</v>
      </c>
      <c r="E152" s="346">
        <f t="shared" si="48"/>
        <v>94.742004614196631</v>
      </c>
      <c r="F152" s="346">
        <f t="shared" si="48"/>
        <v>0</v>
      </c>
      <c r="G152" s="346">
        <f t="shared" si="48"/>
        <v>0</v>
      </c>
      <c r="H152" s="343">
        <f t="shared" si="49"/>
        <v>115.5821955574101</v>
      </c>
      <c r="I152" s="428">
        <f t="shared" si="50"/>
        <v>115.5821955574101</v>
      </c>
      <c r="J152" s="451"/>
      <c r="K152" s="428"/>
      <c r="L152" s="451"/>
      <c r="M152" s="428">
        <f t="shared" si="51"/>
        <v>115.5821955574101</v>
      </c>
      <c r="N152" s="428">
        <f t="shared" si="52"/>
        <v>115.5821955574101</v>
      </c>
      <c r="O152" s="451"/>
      <c r="P152" s="428"/>
      <c r="Q152" s="451"/>
      <c r="R152" s="428">
        <f t="shared" si="53"/>
        <v>115.5821955574101</v>
      </c>
      <c r="S152" s="428">
        <f t="shared" si="54"/>
        <v>115.5821955574101</v>
      </c>
      <c r="T152" s="451"/>
      <c r="U152" s="428"/>
      <c r="V152" s="451"/>
      <c r="W152" s="428">
        <f t="shared" si="55"/>
        <v>115.5821955574101</v>
      </c>
    </row>
    <row r="153" spans="2:23" x14ac:dyDescent="0.3">
      <c r="B153" s="90">
        <f t="shared" si="56"/>
        <v>6</v>
      </c>
      <c r="C153" s="432" t="s">
        <v>256</v>
      </c>
      <c r="D153" s="346">
        <f t="shared" si="48"/>
        <v>38.13535792745617</v>
      </c>
      <c r="E153" s="346">
        <f t="shared" si="48"/>
        <v>-2.2837923362344341</v>
      </c>
      <c r="F153" s="346">
        <f t="shared" si="48"/>
        <v>0</v>
      </c>
      <c r="G153" s="346">
        <f t="shared" si="48"/>
        <v>0</v>
      </c>
      <c r="H153" s="343">
        <f t="shared" si="49"/>
        <v>35.851565591221735</v>
      </c>
      <c r="I153" s="428">
        <f t="shared" si="50"/>
        <v>35.851565591221735</v>
      </c>
      <c r="J153" s="451"/>
      <c r="K153" s="428"/>
      <c r="L153" s="451"/>
      <c r="M153" s="428">
        <f t="shared" si="51"/>
        <v>35.851565591221735</v>
      </c>
      <c r="N153" s="428">
        <f t="shared" si="52"/>
        <v>35.851565591221735</v>
      </c>
      <c r="O153" s="451"/>
      <c r="P153" s="428"/>
      <c r="Q153" s="451"/>
      <c r="R153" s="428">
        <f t="shared" si="53"/>
        <v>35.851565591221735</v>
      </c>
      <c r="S153" s="428">
        <f t="shared" si="54"/>
        <v>35.851565591221735</v>
      </c>
      <c r="T153" s="451"/>
      <c r="U153" s="428"/>
      <c r="V153" s="451"/>
      <c r="W153" s="428">
        <f t="shared" si="55"/>
        <v>35.851565591221735</v>
      </c>
    </row>
    <row r="154" spans="2:23" x14ac:dyDescent="0.3">
      <c r="B154" s="90">
        <f t="shared" si="56"/>
        <v>7</v>
      </c>
      <c r="C154" s="432" t="s">
        <v>850</v>
      </c>
      <c r="D154" s="346">
        <f t="shared" si="48"/>
        <v>0.50790754752862965</v>
      </c>
      <c r="E154" s="346">
        <f t="shared" si="48"/>
        <v>-6.4446321153019681E-2</v>
      </c>
      <c r="F154" s="346">
        <f t="shared" si="48"/>
        <v>0</v>
      </c>
      <c r="G154" s="346">
        <f t="shared" si="48"/>
        <v>0</v>
      </c>
      <c r="H154" s="343">
        <f t="shared" si="49"/>
        <v>0.44346122637560997</v>
      </c>
      <c r="I154" s="428">
        <f t="shared" si="50"/>
        <v>0.44346122637560997</v>
      </c>
      <c r="J154" s="451"/>
      <c r="K154" s="428"/>
      <c r="L154" s="451"/>
      <c r="M154" s="428">
        <f t="shared" si="51"/>
        <v>0.44346122637560997</v>
      </c>
      <c r="N154" s="428">
        <f t="shared" si="52"/>
        <v>0.44346122637560997</v>
      </c>
      <c r="O154" s="451"/>
      <c r="P154" s="428"/>
      <c r="Q154" s="451"/>
      <c r="R154" s="428">
        <f t="shared" si="53"/>
        <v>0.44346122637560997</v>
      </c>
      <c r="S154" s="428">
        <f t="shared" si="54"/>
        <v>0.44346122637560997</v>
      </c>
      <c r="T154" s="451"/>
      <c r="U154" s="428"/>
      <c r="V154" s="451"/>
      <c r="W154" s="428">
        <f t="shared" si="55"/>
        <v>0.44346122637560997</v>
      </c>
    </row>
    <row r="155" spans="2:23" x14ac:dyDescent="0.3">
      <c r="B155" s="90">
        <f t="shared" si="56"/>
        <v>8</v>
      </c>
      <c r="C155" s="432" t="s">
        <v>851</v>
      </c>
      <c r="D155" s="346">
        <f t="shared" si="48"/>
        <v>4.3592707073624552E-2</v>
      </c>
      <c r="E155" s="346">
        <f t="shared" si="48"/>
        <v>-3.2436512591423002E-3</v>
      </c>
      <c r="F155" s="346">
        <f t="shared" si="48"/>
        <v>0</v>
      </c>
      <c r="G155" s="346">
        <f t="shared" si="48"/>
        <v>0</v>
      </c>
      <c r="H155" s="343">
        <f t="shared" si="49"/>
        <v>4.0349055814482254E-2</v>
      </c>
      <c r="I155" s="428">
        <f t="shared" si="50"/>
        <v>4.0349055814482254E-2</v>
      </c>
      <c r="J155" s="451"/>
      <c r="K155" s="428"/>
      <c r="L155" s="451"/>
      <c r="M155" s="428">
        <f t="shared" si="51"/>
        <v>4.0349055814482254E-2</v>
      </c>
      <c r="N155" s="428">
        <f t="shared" si="52"/>
        <v>4.0349055814482254E-2</v>
      </c>
      <c r="O155" s="451"/>
      <c r="P155" s="428"/>
      <c r="Q155" s="451"/>
      <c r="R155" s="428">
        <f t="shared" si="53"/>
        <v>4.0349055814482254E-2</v>
      </c>
      <c r="S155" s="428">
        <f t="shared" si="54"/>
        <v>4.0349055814482254E-2</v>
      </c>
      <c r="T155" s="451"/>
      <c r="U155" s="428"/>
      <c r="V155" s="451"/>
      <c r="W155" s="428">
        <f t="shared" si="55"/>
        <v>4.0349055814482254E-2</v>
      </c>
    </row>
    <row r="156" spans="2:23" x14ac:dyDescent="0.3">
      <c r="B156" s="90">
        <f t="shared" si="56"/>
        <v>9</v>
      </c>
      <c r="C156" s="432" t="s">
        <v>852</v>
      </c>
      <c r="D156" s="346">
        <f t="shared" si="48"/>
        <v>-0.3910440176002814</v>
      </c>
      <c r="E156" s="346">
        <f t="shared" si="48"/>
        <v>0</v>
      </c>
      <c r="F156" s="346">
        <f t="shared" si="48"/>
        <v>0</v>
      </c>
      <c r="G156" s="346">
        <f t="shared" si="48"/>
        <v>0</v>
      </c>
      <c r="H156" s="343">
        <f t="shared" si="49"/>
        <v>-0.3910440176002814</v>
      </c>
      <c r="I156" s="428">
        <f t="shared" si="50"/>
        <v>-0.3910440176002814</v>
      </c>
      <c r="J156" s="451"/>
      <c r="K156" s="428"/>
      <c r="L156" s="451"/>
      <c r="M156" s="428">
        <f t="shared" si="51"/>
        <v>-0.3910440176002814</v>
      </c>
      <c r="N156" s="428">
        <f t="shared" si="52"/>
        <v>-0.3910440176002814</v>
      </c>
      <c r="O156" s="451"/>
      <c r="P156" s="428"/>
      <c r="Q156" s="451"/>
      <c r="R156" s="428">
        <f t="shared" si="53"/>
        <v>-0.3910440176002814</v>
      </c>
      <c r="S156" s="428">
        <f t="shared" si="54"/>
        <v>-0.3910440176002814</v>
      </c>
      <c r="T156" s="451"/>
      <c r="U156" s="428"/>
      <c r="V156" s="451"/>
      <c r="W156" s="428">
        <f t="shared" si="55"/>
        <v>-0.3910440176002814</v>
      </c>
    </row>
    <row r="157" spans="2:23" x14ac:dyDescent="0.3">
      <c r="B157" s="90">
        <f t="shared" si="56"/>
        <v>10</v>
      </c>
      <c r="C157" s="432" t="s">
        <v>259</v>
      </c>
      <c r="D157" s="346">
        <f t="shared" si="48"/>
        <v>4.3663709999999911E-2</v>
      </c>
      <c r="E157" s="346">
        <f t="shared" si="48"/>
        <v>0</v>
      </c>
      <c r="F157" s="346">
        <f t="shared" si="48"/>
        <v>0</v>
      </c>
      <c r="G157" s="346">
        <f t="shared" si="48"/>
        <v>0</v>
      </c>
      <c r="H157" s="343">
        <f t="shared" si="49"/>
        <v>4.3663709999999911E-2</v>
      </c>
      <c r="I157" s="428">
        <f t="shared" si="50"/>
        <v>4.3663709999999911E-2</v>
      </c>
      <c r="J157" s="451"/>
      <c r="K157" s="428"/>
      <c r="L157" s="451"/>
      <c r="M157" s="428">
        <f t="shared" si="51"/>
        <v>4.3663709999999911E-2</v>
      </c>
      <c r="N157" s="428">
        <f t="shared" si="52"/>
        <v>4.3663709999999911E-2</v>
      </c>
      <c r="O157" s="451"/>
      <c r="P157" s="428"/>
      <c r="Q157" s="451"/>
      <c r="R157" s="428">
        <f t="shared" si="53"/>
        <v>4.3663709999999911E-2</v>
      </c>
      <c r="S157" s="428">
        <f t="shared" si="54"/>
        <v>4.3663709999999911E-2</v>
      </c>
      <c r="T157" s="451"/>
      <c r="U157" s="428"/>
      <c r="V157" s="451"/>
      <c r="W157" s="428">
        <f t="shared" si="55"/>
        <v>4.3663709999999911E-2</v>
      </c>
    </row>
    <row r="158" spans="2:23" x14ac:dyDescent="0.3">
      <c r="B158" s="90">
        <f t="shared" si="56"/>
        <v>11</v>
      </c>
      <c r="C158" s="432" t="s">
        <v>260</v>
      </c>
      <c r="D158" s="346">
        <f t="shared" si="48"/>
        <v>0.26044666454217902</v>
      </c>
      <c r="E158" s="346">
        <f t="shared" si="48"/>
        <v>-4.0519347629550562E-2</v>
      </c>
      <c r="F158" s="346">
        <f t="shared" si="48"/>
        <v>0</v>
      </c>
      <c r="G158" s="346">
        <f t="shared" si="48"/>
        <v>0</v>
      </c>
      <c r="H158" s="343">
        <f t="shared" si="49"/>
        <v>0.21992731691262846</v>
      </c>
      <c r="I158" s="428">
        <f t="shared" si="50"/>
        <v>0.21992731691262846</v>
      </c>
      <c r="J158" s="451"/>
      <c r="K158" s="428"/>
      <c r="L158" s="451"/>
      <c r="M158" s="428">
        <f t="shared" si="51"/>
        <v>0.21992731691262846</v>
      </c>
      <c r="N158" s="428">
        <f t="shared" si="52"/>
        <v>0.21992731691262846</v>
      </c>
      <c r="O158" s="451"/>
      <c r="P158" s="428"/>
      <c r="Q158" s="451"/>
      <c r="R158" s="428">
        <f t="shared" si="53"/>
        <v>0.21992731691262846</v>
      </c>
      <c r="S158" s="428">
        <f t="shared" si="54"/>
        <v>0.21992731691262846</v>
      </c>
      <c r="T158" s="451"/>
      <c r="U158" s="428"/>
      <c r="V158" s="451"/>
      <c r="W158" s="428">
        <f t="shared" si="55"/>
        <v>0.21992731691262846</v>
      </c>
    </row>
    <row r="159" spans="2:23" x14ac:dyDescent="0.3">
      <c r="B159" s="90">
        <f t="shared" si="56"/>
        <v>12</v>
      </c>
      <c r="C159" s="432" t="s">
        <v>261</v>
      </c>
      <c r="D159" s="346">
        <f t="shared" si="48"/>
        <v>0.505425596485372</v>
      </c>
      <c r="E159" s="346">
        <f t="shared" si="48"/>
        <v>-7.1414737545302365E-2</v>
      </c>
      <c r="F159" s="346">
        <f t="shared" si="48"/>
        <v>0</v>
      </c>
      <c r="G159" s="346">
        <f t="shared" si="48"/>
        <v>0</v>
      </c>
      <c r="H159" s="343">
        <f t="shared" si="49"/>
        <v>0.43401085894006963</v>
      </c>
      <c r="I159" s="428">
        <f t="shared" si="50"/>
        <v>0.43401085894006963</v>
      </c>
      <c r="J159" s="451"/>
      <c r="K159" s="428"/>
      <c r="L159" s="451"/>
      <c r="M159" s="428">
        <f t="shared" si="51"/>
        <v>0.43401085894006963</v>
      </c>
      <c r="N159" s="428">
        <f t="shared" si="52"/>
        <v>0.43401085894006963</v>
      </c>
      <c r="O159" s="451"/>
      <c r="P159" s="428"/>
      <c r="Q159" s="451"/>
      <c r="R159" s="428">
        <f t="shared" si="53"/>
        <v>0.43401085894006963</v>
      </c>
      <c r="S159" s="428">
        <f t="shared" si="54"/>
        <v>0.43401085894006963</v>
      </c>
      <c r="T159" s="451"/>
      <c r="U159" s="428"/>
      <c r="V159" s="451"/>
      <c r="W159" s="428">
        <f t="shared" si="55"/>
        <v>0.43401085894006963</v>
      </c>
    </row>
    <row r="160" spans="2:23" x14ac:dyDescent="0.3">
      <c r="B160" s="90">
        <f t="shared" si="56"/>
        <v>13</v>
      </c>
      <c r="C160" s="450" t="s">
        <v>899</v>
      </c>
      <c r="D160" s="346">
        <f t="shared" si="48"/>
        <v>0</v>
      </c>
      <c r="E160" s="346">
        <f t="shared" si="48"/>
        <v>0</v>
      </c>
      <c r="F160" s="346">
        <f t="shared" si="48"/>
        <v>0</v>
      </c>
      <c r="G160" s="346">
        <f t="shared" si="48"/>
        <v>0</v>
      </c>
      <c r="H160" s="343">
        <f t="shared" si="49"/>
        <v>0</v>
      </c>
      <c r="I160" s="428">
        <f t="shared" si="50"/>
        <v>0</v>
      </c>
      <c r="J160" s="451"/>
      <c r="K160" s="428"/>
      <c r="L160" s="451"/>
      <c r="M160" s="428">
        <f t="shared" si="51"/>
        <v>0</v>
      </c>
      <c r="N160" s="428">
        <f t="shared" si="52"/>
        <v>0</v>
      </c>
      <c r="O160" s="451"/>
      <c r="P160" s="428"/>
      <c r="Q160" s="451"/>
      <c r="R160" s="428">
        <f t="shared" si="53"/>
        <v>0</v>
      </c>
      <c r="S160" s="428">
        <f t="shared" si="54"/>
        <v>0</v>
      </c>
      <c r="T160" s="451"/>
      <c r="U160" s="428"/>
      <c r="V160" s="451"/>
      <c r="W160" s="428">
        <f t="shared" si="55"/>
        <v>0</v>
      </c>
    </row>
    <row r="161" spans="2:23" x14ac:dyDescent="0.3">
      <c r="B161" s="90">
        <f t="shared" si="56"/>
        <v>14</v>
      </c>
      <c r="C161" s="450" t="s">
        <v>900</v>
      </c>
      <c r="D161" s="346">
        <f t="shared" si="48"/>
        <v>-2.7123780850000008E-2</v>
      </c>
      <c r="E161" s="346">
        <f t="shared" si="48"/>
        <v>2.2331679000000019E-3</v>
      </c>
      <c r="F161" s="346">
        <f t="shared" si="48"/>
        <v>0</v>
      </c>
      <c r="G161" s="346">
        <f t="shared" si="48"/>
        <v>0</v>
      </c>
      <c r="H161" s="343">
        <f t="shared" si="49"/>
        <v>-2.4890612950000005E-2</v>
      </c>
      <c r="I161" s="428">
        <f t="shared" si="50"/>
        <v>-2.4890612950000005E-2</v>
      </c>
      <c r="J161" s="451"/>
      <c r="K161" s="428"/>
      <c r="L161" s="451"/>
      <c r="M161" s="428">
        <f t="shared" si="51"/>
        <v>-2.4890612950000005E-2</v>
      </c>
      <c r="N161" s="428">
        <f t="shared" si="52"/>
        <v>-2.4890612950000005E-2</v>
      </c>
      <c r="O161" s="451"/>
      <c r="P161" s="428"/>
      <c r="Q161" s="451"/>
      <c r="R161" s="428">
        <f t="shared" si="53"/>
        <v>-2.4890612950000005E-2</v>
      </c>
      <c r="S161" s="428">
        <f t="shared" si="54"/>
        <v>-2.4890612950000005E-2</v>
      </c>
      <c r="T161" s="451"/>
      <c r="U161" s="428"/>
      <c r="V161" s="451"/>
      <c r="W161" s="428">
        <f t="shared" si="55"/>
        <v>-2.4890612950000005E-2</v>
      </c>
    </row>
    <row r="162" spans="2:23" x14ac:dyDescent="0.3">
      <c r="B162" s="90">
        <f t="shared" si="56"/>
        <v>15</v>
      </c>
      <c r="C162" s="450" t="s">
        <v>901</v>
      </c>
      <c r="D162" s="346">
        <f t="shared" si="48"/>
        <v>0</v>
      </c>
      <c r="E162" s="346">
        <f t="shared" si="48"/>
        <v>0</v>
      </c>
      <c r="F162" s="346">
        <f t="shared" si="48"/>
        <v>0</v>
      </c>
      <c r="G162" s="346">
        <f t="shared" si="48"/>
        <v>0</v>
      </c>
      <c r="H162" s="343">
        <f t="shared" si="49"/>
        <v>0</v>
      </c>
      <c r="I162" s="428">
        <f t="shared" si="50"/>
        <v>0</v>
      </c>
      <c r="J162" s="451"/>
      <c r="K162" s="428"/>
      <c r="L162" s="451"/>
      <c r="M162" s="428">
        <f t="shared" si="51"/>
        <v>0</v>
      </c>
      <c r="N162" s="428">
        <f t="shared" si="52"/>
        <v>0</v>
      </c>
      <c r="O162" s="451"/>
      <c r="P162" s="428"/>
      <c r="Q162" s="451"/>
      <c r="R162" s="428">
        <f t="shared" si="53"/>
        <v>0</v>
      </c>
      <c r="S162" s="428">
        <f t="shared" si="54"/>
        <v>0</v>
      </c>
      <c r="T162" s="451"/>
      <c r="U162" s="428"/>
      <c r="V162" s="451"/>
      <c r="W162" s="428">
        <f t="shared" si="55"/>
        <v>0</v>
      </c>
    </row>
    <row r="163" spans="2:23" x14ac:dyDescent="0.3">
      <c r="B163" s="90">
        <f t="shared" si="56"/>
        <v>16</v>
      </c>
      <c r="C163" s="450" t="s">
        <v>853</v>
      </c>
      <c r="D163" s="346">
        <f t="shared" si="48"/>
        <v>0</v>
      </c>
      <c r="E163" s="346">
        <f t="shared" si="48"/>
        <v>0</v>
      </c>
      <c r="F163" s="346">
        <f t="shared" si="48"/>
        <v>0</v>
      </c>
      <c r="G163" s="346">
        <f t="shared" si="48"/>
        <v>0</v>
      </c>
      <c r="H163" s="343">
        <f t="shared" si="49"/>
        <v>0</v>
      </c>
      <c r="I163" s="428">
        <f t="shared" si="50"/>
        <v>0</v>
      </c>
      <c r="J163" s="451"/>
      <c r="K163" s="428"/>
      <c r="L163" s="451"/>
      <c r="M163" s="428">
        <f t="shared" si="51"/>
        <v>0</v>
      </c>
      <c r="N163" s="428">
        <f t="shared" si="52"/>
        <v>0</v>
      </c>
      <c r="O163" s="451"/>
      <c r="P163" s="428"/>
      <c r="Q163" s="451"/>
      <c r="R163" s="428">
        <f t="shared" si="53"/>
        <v>0</v>
      </c>
      <c r="S163" s="428">
        <f t="shared" si="54"/>
        <v>0</v>
      </c>
      <c r="T163" s="451"/>
      <c r="U163" s="428"/>
      <c r="V163" s="451"/>
      <c r="W163" s="428">
        <f t="shared" si="55"/>
        <v>0</v>
      </c>
    </row>
    <row r="164" spans="2:23" x14ac:dyDescent="0.3">
      <c r="B164" s="90">
        <f t="shared" si="56"/>
        <v>17</v>
      </c>
      <c r="C164" s="450" t="s">
        <v>902</v>
      </c>
      <c r="D164" s="346">
        <f t="shared" ref="D164:G164" si="57">D56-D111</f>
        <v>0</v>
      </c>
      <c r="E164" s="346">
        <f t="shared" si="57"/>
        <v>0</v>
      </c>
      <c r="F164" s="346">
        <f t="shared" si="57"/>
        <v>0</v>
      </c>
      <c r="G164" s="346">
        <f t="shared" si="57"/>
        <v>0</v>
      </c>
      <c r="H164" s="343">
        <f t="shared" si="49"/>
        <v>0</v>
      </c>
      <c r="I164" s="428">
        <f t="shared" si="50"/>
        <v>0</v>
      </c>
      <c r="J164" s="451"/>
      <c r="K164" s="428"/>
      <c r="L164" s="451"/>
      <c r="M164" s="428">
        <f t="shared" si="51"/>
        <v>0</v>
      </c>
      <c r="N164" s="428">
        <f t="shared" si="52"/>
        <v>0</v>
      </c>
      <c r="O164" s="451"/>
      <c r="P164" s="428"/>
      <c r="Q164" s="451"/>
      <c r="R164" s="428">
        <f t="shared" si="53"/>
        <v>0</v>
      </c>
      <c r="S164" s="428">
        <f t="shared" si="54"/>
        <v>0</v>
      </c>
      <c r="T164" s="451"/>
      <c r="U164" s="428"/>
      <c r="V164" s="451"/>
      <c r="W164" s="428">
        <f t="shared" si="55"/>
        <v>0</v>
      </c>
    </row>
    <row r="165" spans="2:23" ht="16" x14ac:dyDescent="0.3">
      <c r="B165" s="78"/>
      <c r="C165" s="92" t="s">
        <v>271</v>
      </c>
      <c r="D165" s="345">
        <f>SUM(D148:D163)</f>
        <v>72.83620261720921</v>
      </c>
      <c r="E165" s="345">
        <f>SUM(E148:E163)</f>
        <v>92.117510773332455</v>
      </c>
      <c r="F165" s="345">
        <f>SUM(F148:F163)</f>
        <v>0</v>
      </c>
      <c r="G165" s="345">
        <f>SUM(G148:G163)</f>
        <v>0</v>
      </c>
      <c r="H165" s="345">
        <f>SUM(H148:H163)</f>
        <v>164.95371339054165</v>
      </c>
      <c r="I165" s="345">
        <f t="shared" ref="I165:W165" si="58">SUM(I148:I164)</f>
        <v>164.95371339054165</v>
      </c>
      <c r="J165" s="345">
        <f t="shared" si="58"/>
        <v>0</v>
      </c>
      <c r="K165" s="345">
        <f t="shared" si="58"/>
        <v>0</v>
      </c>
      <c r="L165" s="345">
        <f t="shared" si="58"/>
        <v>0</v>
      </c>
      <c r="M165" s="345">
        <f t="shared" si="58"/>
        <v>164.95371339054165</v>
      </c>
      <c r="N165" s="345">
        <f t="shared" si="58"/>
        <v>164.95371339054165</v>
      </c>
      <c r="O165" s="345">
        <f t="shared" si="58"/>
        <v>0</v>
      </c>
      <c r="P165" s="345">
        <f t="shared" si="58"/>
        <v>0</v>
      </c>
      <c r="Q165" s="345">
        <f t="shared" si="58"/>
        <v>0</v>
      </c>
      <c r="R165" s="345">
        <f t="shared" si="58"/>
        <v>164.95371339054165</v>
      </c>
      <c r="S165" s="345">
        <f t="shared" si="58"/>
        <v>164.95371339054165</v>
      </c>
      <c r="T165" s="345">
        <f t="shared" si="58"/>
        <v>0</v>
      </c>
      <c r="U165" s="345">
        <f t="shared" si="58"/>
        <v>0</v>
      </c>
      <c r="V165" s="345">
        <f t="shared" si="58"/>
        <v>0</v>
      </c>
      <c r="W165" s="345">
        <f t="shared" si="58"/>
        <v>164.95371339054165</v>
      </c>
    </row>
    <row r="166" spans="2:23" x14ac:dyDescent="0.3">
      <c r="B166" s="264"/>
      <c r="C166" s="74"/>
      <c r="D166" s="74"/>
      <c r="E166" s="74"/>
      <c r="F166" s="74"/>
    </row>
  </sheetData>
  <mergeCells count="61">
    <mergeCell ref="S10:W10"/>
    <mergeCell ref="D11:H11"/>
    <mergeCell ref="I11:M11"/>
    <mergeCell ref="N11:R11"/>
    <mergeCell ref="S11:W11"/>
    <mergeCell ref="B10:B12"/>
    <mergeCell ref="C10:C12"/>
    <mergeCell ref="D10:H10"/>
    <mergeCell ref="I10:M10"/>
    <mergeCell ref="N10:R10"/>
    <mergeCell ref="B33:G33"/>
    <mergeCell ref="B36:B38"/>
    <mergeCell ref="C36:C38"/>
    <mergeCell ref="D36:H36"/>
    <mergeCell ref="I36:M36"/>
    <mergeCell ref="B64:B66"/>
    <mergeCell ref="C64:C66"/>
    <mergeCell ref="D64:H64"/>
    <mergeCell ref="I64:M64"/>
    <mergeCell ref="N64:R64"/>
    <mergeCell ref="S36:W36"/>
    <mergeCell ref="D37:H37"/>
    <mergeCell ref="I37:M37"/>
    <mergeCell ref="N37:R37"/>
    <mergeCell ref="S37:W37"/>
    <mergeCell ref="N36:R36"/>
    <mergeCell ref="B91:B93"/>
    <mergeCell ref="C91:C93"/>
    <mergeCell ref="D91:H91"/>
    <mergeCell ref="I91:M91"/>
    <mergeCell ref="N91:R91"/>
    <mergeCell ref="S64:W64"/>
    <mergeCell ref="D65:H65"/>
    <mergeCell ref="I65:M65"/>
    <mergeCell ref="N65:R65"/>
    <mergeCell ref="S65:W65"/>
    <mergeCell ref="B118:B120"/>
    <mergeCell ref="C118:C120"/>
    <mergeCell ref="D118:H118"/>
    <mergeCell ref="I118:M118"/>
    <mergeCell ref="N118:R118"/>
    <mergeCell ref="S91:W91"/>
    <mergeCell ref="D92:H92"/>
    <mergeCell ref="I92:M92"/>
    <mergeCell ref="N92:R92"/>
    <mergeCell ref="S92:W92"/>
    <mergeCell ref="B144:B146"/>
    <mergeCell ref="C144:C146"/>
    <mergeCell ref="D144:H144"/>
    <mergeCell ref="I144:M144"/>
    <mergeCell ref="N144:R144"/>
    <mergeCell ref="S118:W118"/>
    <mergeCell ref="D119:H119"/>
    <mergeCell ref="I119:M119"/>
    <mergeCell ref="N119:R119"/>
    <mergeCell ref="S119:W119"/>
    <mergeCell ref="S144:W144"/>
    <mergeCell ref="D145:H145"/>
    <mergeCell ref="I145:M145"/>
    <mergeCell ref="N145:R145"/>
    <mergeCell ref="S145:W145"/>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58" max="32" man="1"/>
    <brk id="114" max="3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AG166"/>
  <sheetViews>
    <sheetView showGridLines="0" view="pageBreakPreview" topLeftCell="I135" zoomScale="56" zoomScaleNormal="68" zoomScaleSheetLayoutView="70" workbookViewId="0">
      <selection activeCell="U165" sqref="U165"/>
    </sheetView>
  </sheetViews>
  <sheetFormatPr defaultColWidth="9.453125" defaultRowHeight="14" x14ac:dyDescent="0.3"/>
  <cols>
    <col min="1" max="1" width="7.90625" style="5" customWidth="1"/>
    <col min="2" max="2" width="6.453125" style="5" customWidth="1"/>
    <col min="3" max="3" width="43" style="5" customWidth="1"/>
    <col min="4"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x14ac:dyDescent="0.3">
      <c r="B1" s="48"/>
    </row>
    <row r="2" spans="1:23" x14ac:dyDescent="0.3">
      <c r="B2" s="48"/>
    </row>
    <row r="3" spans="1:23" x14ac:dyDescent="0.3">
      <c r="B3" s="48"/>
    </row>
    <row r="4" spans="1:23" x14ac:dyDescent="0.3">
      <c r="B4" s="19"/>
      <c r="I4" s="18"/>
      <c r="J4" s="18"/>
      <c r="K4" s="364" t="str">
        <f>Index!B2</f>
        <v xml:space="preserve">      Maharashtra State Power Generation Company Ltd.</v>
      </c>
      <c r="L4" s="360"/>
      <c r="M4" s="18"/>
      <c r="N4" s="18"/>
      <c r="O4" s="18"/>
      <c r="P4" s="18"/>
      <c r="Q4" s="18"/>
      <c r="R4" s="18"/>
    </row>
    <row r="5" spans="1:23" x14ac:dyDescent="0.3">
      <c r="B5" s="19"/>
      <c r="I5" s="60"/>
      <c r="J5" s="60"/>
      <c r="K5" s="799" t="str">
        <f>Index!B3</f>
        <v>MYT Petition Formats for Bhusawal Unit 3</v>
      </c>
      <c r="L5" s="360"/>
      <c r="M5" s="60"/>
      <c r="N5" s="60"/>
      <c r="O5" s="60"/>
      <c r="P5" s="60"/>
      <c r="Q5" s="60"/>
      <c r="R5" s="60"/>
    </row>
    <row r="6" spans="1:23" x14ac:dyDescent="0.3">
      <c r="B6" s="18"/>
      <c r="I6" s="61"/>
      <c r="J6" s="62"/>
      <c r="K6" s="125" t="s">
        <v>1155</v>
      </c>
      <c r="L6" s="67"/>
      <c r="M6" s="62"/>
      <c r="N6" s="19"/>
      <c r="O6" s="18"/>
      <c r="P6" s="18"/>
      <c r="Q6" s="18"/>
      <c r="R6" s="18"/>
    </row>
    <row r="7" spans="1:23" x14ac:dyDescent="0.3">
      <c r="C7" s="19"/>
      <c r="D7" s="19"/>
      <c r="E7" s="19"/>
      <c r="F7" s="19"/>
      <c r="G7" s="19"/>
      <c r="H7" s="19"/>
      <c r="J7" s="6"/>
      <c r="M7" s="6"/>
      <c r="N7" s="6"/>
    </row>
    <row r="8" spans="1:23" x14ac:dyDescent="0.3">
      <c r="A8" s="5" t="s">
        <v>265</v>
      </c>
      <c r="B8" s="362" t="s">
        <v>266</v>
      </c>
      <c r="C8" s="362"/>
      <c r="D8" s="362"/>
      <c r="E8" s="362"/>
      <c r="F8" s="362"/>
      <c r="G8" s="362"/>
      <c r="H8" s="362"/>
      <c r="I8" s="1"/>
      <c r="J8" s="42"/>
      <c r="K8" s="1"/>
      <c r="L8" s="1"/>
      <c r="M8" s="42"/>
      <c r="N8" s="42"/>
      <c r="O8" s="1"/>
      <c r="P8" s="1"/>
      <c r="Q8" s="1"/>
      <c r="R8" s="247"/>
    </row>
    <row r="9" spans="1:23" x14ac:dyDescent="0.3">
      <c r="B9" s="254"/>
      <c r="C9" s="8"/>
      <c r="D9" s="8"/>
      <c r="E9" s="8"/>
      <c r="F9" s="8"/>
      <c r="G9" s="8"/>
      <c r="H9" s="8"/>
      <c r="I9" s="1"/>
      <c r="J9" s="42"/>
      <c r="K9" s="1"/>
      <c r="L9" s="1"/>
      <c r="N9" s="42"/>
      <c r="O9" s="1"/>
      <c r="P9" s="1"/>
      <c r="Q9" s="1"/>
      <c r="W9" s="255" t="s">
        <v>10</v>
      </c>
    </row>
    <row r="10" spans="1:23" ht="15.75" customHeight="1" x14ac:dyDescent="0.3">
      <c r="B10" s="1639" t="s">
        <v>340</v>
      </c>
      <c r="C10" s="1639" t="s">
        <v>38</v>
      </c>
      <c r="D10" s="1762" t="s">
        <v>505</v>
      </c>
      <c r="E10" s="1762"/>
      <c r="F10" s="1762"/>
      <c r="G10" s="1762"/>
      <c r="H10" s="1762"/>
      <c r="I10" s="1762" t="s">
        <v>506</v>
      </c>
      <c r="J10" s="1762"/>
      <c r="K10" s="1762"/>
      <c r="L10" s="1762"/>
      <c r="M10" s="1762"/>
      <c r="N10" s="1758" t="s">
        <v>507</v>
      </c>
      <c r="O10" s="1758"/>
      <c r="P10" s="1758"/>
      <c r="Q10" s="1758"/>
      <c r="R10" s="1758"/>
      <c r="S10" s="1758" t="s">
        <v>1067</v>
      </c>
      <c r="T10" s="1758"/>
      <c r="U10" s="1758"/>
      <c r="V10" s="1758"/>
      <c r="W10" s="1758"/>
    </row>
    <row r="11" spans="1:23" ht="15.75" customHeight="1" x14ac:dyDescent="0.3">
      <c r="B11" s="1639"/>
      <c r="C11" s="1639"/>
      <c r="D11" s="1764" t="s">
        <v>7</v>
      </c>
      <c r="E11" s="1765"/>
      <c r="F11" s="1765"/>
      <c r="G11" s="1765"/>
      <c r="H11" s="1765"/>
      <c r="I11" s="1764" t="s">
        <v>7</v>
      </c>
      <c r="J11" s="1765"/>
      <c r="K11" s="1765"/>
      <c r="L11" s="1765"/>
      <c r="M11" s="1765"/>
      <c r="N11" s="1764" t="s">
        <v>12</v>
      </c>
      <c r="O11" s="1765"/>
      <c r="P11" s="1765"/>
      <c r="Q11" s="1765"/>
      <c r="R11" s="1765"/>
      <c r="S11" s="1762" t="s">
        <v>21</v>
      </c>
      <c r="T11" s="1763"/>
      <c r="U11" s="1763"/>
      <c r="V11" s="1763"/>
      <c r="W11" s="1763"/>
    </row>
    <row r="12" spans="1:23" s="35" customFormat="1" ht="42" x14ac:dyDescent="0.3">
      <c r="B12" s="1639"/>
      <c r="C12" s="1639"/>
      <c r="D12" s="361" t="s">
        <v>267</v>
      </c>
      <c r="E12" s="361" t="s">
        <v>268</v>
      </c>
      <c r="F12" s="361" t="s">
        <v>269</v>
      </c>
      <c r="G12" s="744" t="s">
        <v>586</v>
      </c>
      <c r="H12" s="361" t="s">
        <v>270</v>
      </c>
      <c r="I12" s="640" t="s">
        <v>267</v>
      </c>
      <c r="J12" s="640" t="s">
        <v>268</v>
      </c>
      <c r="K12" s="640" t="s">
        <v>269</v>
      </c>
      <c r="L12" s="640" t="s">
        <v>586</v>
      </c>
      <c r="M12" s="640" t="s">
        <v>270</v>
      </c>
      <c r="N12" s="363" t="s">
        <v>267</v>
      </c>
      <c r="O12" s="363" t="s">
        <v>268</v>
      </c>
      <c r="P12" s="363" t="s">
        <v>269</v>
      </c>
      <c r="Q12" s="361" t="s">
        <v>586</v>
      </c>
      <c r="R12" s="363" t="s">
        <v>270</v>
      </c>
      <c r="S12" s="363" t="s">
        <v>267</v>
      </c>
      <c r="T12" s="363" t="s">
        <v>268</v>
      </c>
      <c r="U12" s="363" t="s">
        <v>269</v>
      </c>
      <c r="V12" s="361" t="s">
        <v>586</v>
      </c>
      <c r="W12" s="363" t="s">
        <v>270</v>
      </c>
    </row>
    <row r="13" spans="1:23" s="36" customFormat="1" ht="28" x14ac:dyDescent="0.25">
      <c r="B13" s="256"/>
      <c r="C13" s="256"/>
      <c r="D13" s="256" t="s">
        <v>82</v>
      </c>
      <c r="E13" s="256" t="s">
        <v>83</v>
      </c>
      <c r="F13" s="256" t="s">
        <v>459</v>
      </c>
      <c r="G13" s="256" t="s">
        <v>391</v>
      </c>
      <c r="H13" s="256" t="s">
        <v>587</v>
      </c>
      <c r="I13" s="256" t="s">
        <v>409</v>
      </c>
      <c r="J13" s="256" t="s">
        <v>508</v>
      </c>
      <c r="K13" s="256" t="s">
        <v>410</v>
      </c>
      <c r="L13" s="256" t="s">
        <v>411</v>
      </c>
      <c r="M13" s="256" t="s">
        <v>652</v>
      </c>
      <c r="N13" s="256" t="s">
        <v>588</v>
      </c>
      <c r="O13" s="256" t="s">
        <v>653</v>
      </c>
      <c r="P13" s="256" t="s">
        <v>589</v>
      </c>
      <c r="Q13" s="256" t="s">
        <v>590</v>
      </c>
      <c r="R13" s="256" t="s">
        <v>1152</v>
      </c>
      <c r="S13" s="256" t="s">
        <v>591</v>
      </c>
      <c r="T13" s="256" t="s">
        <v>592</v>
      </c>
      <c r="U13" s="256" t="s">
        <v>654</v>
      </c>
      <c r="V13" s="256" t="s">
        <v>593</v>
      </c>
      <c r="W13" s="256" t="s">
        <v>1153</v>
      </c>
    </row>
    <row r="14" spans="1:23" s="404" customFormat="1" x14ac:dyDescent="0.3">
      <c r="B14" s="448">
        <v>1</v>
      </c>
      <c r="C14" s="450" t="s">
        <v>845</v>
      </c>
      <c r="D14" s="451">
        <v>3.4063698999999996</v>
      </c>
      <c r="E14" s="451">
        <v>0</v>
      </c>
      <c r="F14" s="451">
        <v>0</v>
      </c>
      <c r="G14" s="451"/>
      <c r="H14" s="451">
        <f>D14+E14-F14-G14</f>
        <v>3.4063698999999996</v>
      </c>
      <c r="I14" s="428">
        <f>H14</f>
        <v>3.4063698999999996</v>
      </c>
      <c r="J14" s="451">
        <v>0.19434199999999999</v>
      </c>
      <c r="K14" s="451">
        <v>0</v>
      </c>
      <c r="L14" s="451"/>
      <c r="M14" s="428">
        <f>I14+J14-K14-L14</f>
        <v>3.6007118999999994</v>
      </c>
      <c r="N14" s="451">
        <f t="shared" ref="N14:N30" si="0">M14</f>
        <v>3.6007118999999994</v>
      </c>
      <c r="O14" s="451">
        <v>0</v>
      </c>
      <c r="P14" s="451">
        <v>0</v>
      </c>
      <c r="Q14" s="451"/>
      <c r="R14" s="451">
        <f>N14+O14-P14-Q14</f>
        <v>3.6007118999999994</v>
      </c>
      <c r="S14" s="428">
        <f>R14</f>
        <v>3.6007118999999994</v>
      </c>
      <c r="T14" s="451">
        <v>0</v>
      </c>
      <c r="U14" s="428">
        <v>0</v>
      </c>
      <c r="V14" s="451"/>
      <c r="W14" s="428">
        <f>S14+T14-U14-V14</f>
        <v>3.6007118999999994</v>
      </c>
    </row>
    <row r="15" spans="1:23" s="404" customFormat="1" x14ac:dyDescent="0.3">
      <c r="B15" s="448">
        <f>B14+1</f>
        <v>2</v>
      </c>
      <c r="C15" s="450" t="s">
        <v>846</v>
      </c>
      <c r="D15" s="451">
        <v>18.54565659589041</v>
      </c>
      <c r="E15" s="451">
        <v>0</v>
      </c>
      <c r="F15" s="451">
        <v>0</v>
      </c>
      <c r="G15" s="451"/>
      <c r="H15" s="451">
        <f t="shared" ref="H15:H30" si="1">D15+E15-F15-G15</f>
        <v>18.54565659589041</v>
      </c>
      <c r="I15" s="428">
        <f t="shared" ref="I15:I30" si="2">H15</f>
        <v>18.54565659589041</v>
      </c>
      <c r="J15" s="451">
        <v>0</v>
      </c>
      <c r="K15" s="451">
        <v>0</v>
      </c>
      <c r="L15" s="451"/>
      <c r="M15" s="428">
        <f t="shared" ref="M15:M30" si="3">I15+J15-K15-L15</f>
        <v>18.54565659589041</v>
      </c>
      <c r="N15" s="451">
        <f t="shared" si="0"/>
        <v>18.54565659589041</v>
      </c>
      <c r="O15" s="451">
        <v>0</v>
      </c>
      <c r="P15" s="451">
        <v>0</v>
      </c>
      <c r="Q15" s="451"/>
      <c r="R15" s="451">
        <f t="shared" ref="R15:R30" si="4">N15+O15-P15-Q15</f>
        <v>18.54565659589041</v>
      </c>
      <c r="S15" s="428">
        <f t="shared" ref="S15:S30" si="5">R15</f>
        <v>18.54565659589041</v>
      </c>
      <c r="T15" s="451">
        <v>0</v>
      </c>
      <c r="U15" s="428">
        <v>0</v>
      </c>
      <c r="V15" s="451"/>
      <c r="W15" s="428">
        <f t="shared" ref="W15:W25" si="6">S15+T15-U15-V15</f>
        <v>18.54565659589041</v>
      </c>
    </row>
    <row r="16" spans="1:23" s="404" customFormat="1" x14ac:dyDescent="0.3">
      <c r="B16" s="448">
        <f t="shared" ref="B16:B30" si="7">B15+1</f>
        <v>3</v>
      </c>
      <c r="C16" s="450" t="s">
        <v>847</v>
      </c>
      <c r="D16" s="451">
        <v>0</v>
      </c>
      <c r="E16" s="451">
        <v>0</v>
      </c>
      <c r="F16" s="452">
        <v>0</v>
      </c>
      <c r="G16" s="452"/>
      <c r="H16" s="451">
        <f t="shared" si="1"/>
        <v>0</v>
      </c>
      <c r="I16" s="428">
        <f t="shared" si="2"/>
        <v>0</v>
      </c>
      <c r="J16" s="451">
        <v>0</v>
      </c>
      <c r="K16" s="452">
        <v>0</v>
      </c>
      <c r="L16" s="452"/>
      <c r="M16" s="428">
        <f t="shared" si="3"/>
        <v>0</v>
      </c>
      <c r="N16" s="451">
        <f t="shared" si="0"/>
        <v>0</v>
      </c>
      <c r="O16" s="451">
        <v>0</v>
      </c>
      <c r="P16" s="452">
        <v>0</v>
      </c>
      <c r="Q16" s="451"/>
      <c r="R16" s="451">
        <f t="shared" si="4"/>
        <v>0</v>
      </c>
      <c r="S16" s="428">
        <f t="shared" si="5"/>
        <v>0</v>
      </c>
      <c r="T16" s="451">
        <v>0</v>
      </c>
      <c r="U16" s="428">
        <v>0</v>
      </c>
      <c r="V16" s="451"/>
      <c r="W16" s="428">
        <f t="shared" si="6"/>
        <v>0</v>
      </c>
    </row>
    <row r="17" spans="2:23" s="404" customFormat="1" x14ac:dyDescent="0.3">
      <c r="B17" s="448">
        <f t="shared" si="7"/>
        <v>4</v>
      </c>
      <c r="C17" s="450" t="s">
        <v>848</v>
      </c>
      <c r="D17" s="451">
        <v>68.092653000000013</v>
      </c>
      <c r="E17" s="451">
        <v>0</v>
      </c>
      <c r="F17" s="452">
        <v>0</v>
      </c>
      <c r="G17" s="452"/>
      <c r="H17" s="451">
        <f t="shared" si="1"/>
        <v>68.092653000000013</v>
      </c>
      <c r="I17" s="428">
        <f t="shared" si="2"/>
        <v>68.092653000000013</v>
      </c>
      <c r="J17" s="451">
        <v>0</v>
      </c>
      <c r="K17" s="452">
        <v>0</v>
      </c>
      <c r="L17" s="452"/>
      <c r="M17" s="428">
        <f t="shared" si="3"/>
        <v>68.092653000000013</v>
      </c>
      <c r="N17" s="451">
        <f t="shared" si="0"/>
        <v>68.092653000000013</v>
      </c>
      <c r="O17" s="451">
        <v>0</v>
      </c>
      <c r="P17" s="452">
        <v>0</v>
      </c>
      <c r="Q17" s="451"/>
      <c r="R17" s="451">
        <f t="shared" si="4"/>
        <v>68.092653000000013</v>
      </c>
      <c r="S17" s="428">
        <f t="shared" si="5"/>
        <v>68.092653000000013</v>
      </c>
      <c r="T17" s="451">
        <v>0</v>
      </c>
      <c r="U17" s="428">
        <v>0</v>
      </c>
      <c r="V17" s="451"/>
      <c r="W17" s="428">
        <f t="shared" si="6"/>
        <v>68.092653000000013</v>
      </c>
    </row>
    <row r="18" spans="2:23" s="404" customFormat="1" x14ac:dyDescent="0.3">
      <c r="B18" s="448">
        <f t="shared" si="7"/>
        <v>5</v>
      </c>
      <c r="C18" s="450" t="s">
        <v>849</v>
      </c>
      <c r="D18" s="451">
        <v>84.548094000000006</v>
      </c>
      <c r="E18" s="451">
        <v>0</v>
      </c>
      <c r="F18" s="452">
        <v>0</v>
      </c>
      <c r="G18" s="452"/>
      <c r="H18" s="451">
        <f t="shared" si="1"/>
        <v>84.548094000000006</v>
      </c>
      <c r="I18" s="428">
        <f t="shared" si="2"/>
        <v>84.548094000000006</v>
      </c>
      <c r="J18" s="451">
        <v>0</v>
      </c>
      <c r="K18" s="452">
        <v>0</v>
      </c>
      <c r="L18" s="452"/>
      <c r="M18" s="428">
        <f t="shared" si="3"/>
        <v>84.548094000000006</v>
      </c>
      <c r="N18" s="451">
        <f t="shared" si="0"/>
        <v>84.548094000000006</v>
      </c>
      <c r="O18" s="451">
        <v>0</v>
      </c>
      <c r="P18" s="452">
        <v>0</v>
      </c>
      <c r="Q18" s="451"/>
      <c r="R18" s="451">
        <f t="shared" si="4"/>
        <v>84.548094000000006</v>
      </c>
      <c r="S18" s="428">
        <f t="shared" si="5"/>
        <v>84.548094000000006</v>
      </c>
      <c r="T18" s="451">
        <v>0</v>
      </c>
      <c r="U18" s="428">
        <v>0</v>
      </c>
      <c r="V18" s="451"/>
      <c r="W18" s="428">
        <f t="shared" si="6"/>
        <v>84.548094000000006</v>
      </c>
    </row>
    <row r="19" spans="2:23" s="11" customFormat="1" x14ac:dyDescent="0.3">
      <c r="B19" s="448">
        <f t="shared" si="7"/>
        <v>6</v>
      </c>
      <c r="C19" s="450" t="s">
        <v>256</v>
      </c>
      <c r="D19" s="451">
        <v>284.46188582518442</v>
      </c>
      <c r="E19" s="451">
        <v>0</v>
      </c>
      <c r="F19" s="451">
        <v>0</v>
      </c>
      <c r="G19" s="451"/>
      <c r="H19" s="451">
        <f t="shared" si="1"/>
        <v>284.46188582518442</v>
      </c>
      <c r="I19" s="428">
        <f t="shared" si="2"/>
        <v>284.46188582518442</v>
      </c>
      <c r="J19" s="451">
        <v>0</v>
      </c>
      <c r="K19" s="451">
        <v>0</v>
      </c>
      <c r="L19" s="451"/>
      <c r="M19" s="428">
        <f t="shared" si="3"/>
        <v>284.46188582518442</v>
      </c>
      <c r="N19" s="451">
        <f t="shared" si="0"/>
        <v>284.46188582518442</v>
      </c>
      <c r="O19" s="451">
        <v>5.54</v>
      </c>
      <c r="P19" s="451">
        <v>0</v>
      </c>
      <c r="Q19" s="451"/>
      <c r="R19" s="451">
        <f t="shared" si="4"/>
        <v>290.00188582518444</v>
      </c>
      <c r="S19" s="428">
        <f t="shared" si="5"/>
        <v>290.00188582518444</v>
      </c>
      <c r="T19" s="451">
        <v>0</v>
      </c>
      <c r="U19" s="428">
        <v>0</v>
      </c>
      <c r="V19" s="451"/>
      <c r="W19" s="428">
        <f t="shared" si="6"/>
        <v>290.00188582518444</v>
      </c>
    </row>
    <row r="20" spans="2:23" s="11" customFormat="1" x14ac:dyDescent="0.3">
      <c r="B20" s="448">
        <f t="shared" si="7"/>
        <v>7</v>
      </c>
      <c r="C20" s="450" t="s">
        <v>850</v>
      </c>
      <c r="D20" s="451">
        <v>2.5012226291655084</v>
      </c>
      <c r="E20" s="451">
        <v>0</v>
      </c>
      <c r="F20" s="750">
        <v>0</v>
      </c>
      <c r="G20" s="451"/>
      <c r="H20" s="451">
        <f t="shared" si="1"/>
        <v>2.5012226291655084</v>
      </c>
      <c r="I20" s="428">
        <f t="shared" si="2"/>
        <v>2.5012226291655084</v>
      </c>
      <c r="J20" s="451">
        <v>0</v>
      </c>
      <c r="K20" s="750">
        <v>0</v>
      </c>
      <c r="L20" s="451"/>
      <c r="M20" s="428">
        <f t="shared" si="3"/>
        <v>2.5012226291655084</v>
      </c>
      <c r="N20" s="451">
        <f t="shared" si="0"/>
        <v>2.5012226291655084</v>
      </c>
      <c r="O20" s="451">
        <v>0</v>
      </c>
      <c r="P20" s="750">
        <v>0</v>
      </c>
      <c r="Q20" s="451"/>
      <c r="R20" s="451">
        <f t="shared" si="4"/>
        <v>2.5012226291655084</v>
      </c>
      <c r="S20" s="428">
        <f t="shared" si="5"/>
        <v>2.5012226291655084</v>
      </c>
      <c r="T20" s="451">
        <v>0</v>
      </c>
      <c r="U20" s="428">
        <v>0</v>
      </c>
      <c r="V20" s="451"/>
      <c r="W20" s="428">
        <f t="shared" si="6"/>
        <v>2.5012226291655084</v>
      </c>
    </row>
    <row r="21" spans="2:23" s="11" customFormat="1" x14ac:dyDescent="0.3">
      <c r="B21" s="448">
        <f t="shared" si="7"/>
        <v>8</v>
      </c>
      <c r="C21" s="450" t="s">
        <v>851</v>
      </c>
      <c r="D21" s="451">
        <v>6.1432788998907202E-2</v>
      </c>
      <c r="E21" s="451">
        <v>0</v>
      </c>
      <c r="F21" s="451">
        <v>0</v>
      </c>
      <c r="G21" s="451"/>
      <c r="H21" s="451">
        <f t="shared" si="1"/>
        <v>6.1432788998907202E-2</v>
      </c>
      <c r="I21" s="428">
        <f t="shared" si="2"/>
        <v>6.1432788998907202E-2</v>
      </c>
      <c r="J21" s="451">
        <v>0</v>
      </c>
      <c r="K21" s="451">
        <v>0</v>
      </c>
      <c r="L21" s="451"/>
      <c r="M21" s="428">
        <f t="shared" si="3"/>
        <v>6.1432788998907202E-2</v>
      </c>
      <c r="N21" s="451">
        <f t="shared" si="0"/>
        <v>6.1432788998907202E-2</v>
      </c>
      <c r="O21" s="451">
        <v>0</v>
      </c>
      <c r="P21" s="451">
        <v>0</v>
      </c>
      <c r="Q21" s="451"/>
      <c r="R21" s="451">
        <f t="shared" si="4"/>
        <v>6.1432788998907202E-2</v>
      </c>
      <c r="S21" s="428">
        <f t="shared" si="5"/>
        <v>6.1432788998907202E-2</v>
      </c>
      <c r="T21" s="451">
        <v>0</v>
      </c>
      <c r="U21" s="428">
        <v>0</v>
      </c>
      <c r="V21" s="451"/>
      <c r="W21" s="428">
        <f t="shared" si="6"/>
        <v>6.1432788998907202E-2</v>
      </c>
    </row>
    <row r="22" spans="2:23" s="11" customFormat="1" x14ac:dyDescent="0.3">
      <c r="B22" s="448">
        <f t="shared" si="7"/>
        <v>9</v>
      </c>
      <c r="C22" s="450" t="s">
        <v>852</v>
      </c>
      <c r="D22" s="451">
        <v>0</v>
      </c>
      <c r="E22" s="451">
        <v>0</v>
      </c>
      <c r="F22" s="451">
        <v>0</v>
      </c>
      <c r="G22" s="451"/>
      <c r="H22" s="451">
        <f t="shared" si="1"/>
        <v>0</v>
      </c>
      <c r="I22" s="428">
        <f t="shared" si="2"/>
        <v>0</v>
      </c>
      <c r="J22" s="451">
        <v>0</v>
      </c>
      <c r="K22" s="451">
        <v>0</v>
      </c>
      <c r="L22" s="451"/>
      <c r="M22" s="428">
        <f t="shared" si="3"/>
        <v>0</v>
      </c>
      <c r="N22" s="451">
        <f t="shared" si="0"/>
        <v>0</v>
      </c>
      <c r="O22" s="451">
        <v>0</v>
      </c>
      <c r="P22" s="451">
        <v>0</v>
      </c>
      <c r="Q22" s="451"/>
      <c r="R22" s="451">
        <f t="shared" si="4"/>
        <v>0</v>
      </c>
      <c r="S22" s="428">
        <f t="shared" si="5"/>
        <v>0</v>
      </c>
      <c r="T22" s="451">
        <v>0</v>
      </c>
      <c r="U22" s="428">
        <v>0</v>
      </c>
      <c r="V22" s="451"/>
      <c r="W22" s="428">
        <f t="shared" si="6"/>
        <v>0</v>
      </c>
    </row>
    <row r="23" spans="2:23" s="11" customFormat="1" x14ac:dyDescent="0.3">
      <c r="B23" s="448">
        <f t="shared" si="7"/>
        <v>10</v>
      </c>
      <c r="C23" s="450" t="s">
        <v>259</v>
      </c>
      <c r="D23" s="451">
        <v>1.3493630999999997</v>
      </c>
      <c r="E23" s="451">
        <v>0</v>
      </c>
      <c r="F23" s="451">
        <v>0</v>
      </c>
      <c r="G23" s="451"/>
      <c r="H23" s="451">
        <f t="shared" si="1"/>
        <v>1.3493630999999997</v>
      </c>
      <c r="I23" s="428">
        <f t="shared" si="2"/>
        <v>1.3493630999999997</v>
      </c>
      <c r="J23" s="451">
        <v>0</v>
      </c>
      <c r="K23" s="451">
        <v>0</v>
      </c>
      <c r="L23" s="451"/>
      <c r="M23" s="428">
        <f t="shared" si="3"/>
        <v>1.3493630999999997</v>
      </c>
      <c r="N23" s="451">
        <f t="shared" si="0"/>
        <v>1.3493630999999997</v>
      </c>
      <c r="O23" s="451">
        <v>0</v>
      </c>
      <c r="P23" s="451">
        <v>0</v>
      </c>
      <c r="Q23" s="451"/>
      <c r="R23" s="451">
        <f t="shared" si="4"/>
        <v>1.3493630999999997</v>
      </c>
      <c r="S23" s="428">
        <f t="shared" si="5"/>
        <v>1.3493630999999997</v>
      </c>
      <c r="T23" s="451">
        <v>0</v>
      </c>
      <c r="U23" s="428">
        <v>0</v>
      </c>
      <c r="V23" s="451"/>
      <c r="W23" s="428">
        <f t="shared" si="6"/>
        <v>1.3493630999999997</v>
      </c>
    </row>
    <row r="24" spans="2:23" s="11" customFormat="1" x14ac:dyDescent="0.3">
      <c r="B24" s="448">
        <f t="shared" si="7"/>
        <v>11</v>
      </c>
      <c r="C24" s="450" t="s">
        <v>260</v>
      </c>
      <c r="D24" s="451">
        <v>0.68764251023976741</v>
      </c>
      <c r="E24" s="451">
        <v>3.4999940000000002E-3</v>
      </c>
      <c r="F24" s="451">
        <v>0</v>
      </c>
      <c r="G24" s="451"/>
      <c r="H24" s="451">
        <f t="shared" si="1"/>
        <v>0.69114250423976742</v>
      </c>
      <c r="I24" s="428">
        <f t="shared" si="2"/>
        <v>0.69114250423976742</v>
      </c>
      <c r="J24" s="451">
        <v>0.20719743600000001</v>
      </c>
      <c r="K24" s="451">
        <v>0</v>
      </c>
      <c r="L24" s="451"/>
      <c r="M24" s="428">
        <f t="shared" si="3"/>
        <v>0.89833994023976738</v>
      </c>
      <c r="N24" s="451">
        <f t="shared" si="0"/>
        <v>0.89833994023976738</v>
      </c>
      <c r="O24" s="451">
        <v>8.5352800000000006E-2</v>
      </c>
      <c r="P24" s="451">
        <v>0</v>
      </c>
      <c r="Q24" s="451"/>
      <c r="R24" s="451">
        <f t="shared" si="4"/>
        <v>0.98369274023976738</v>
      </c>
      <c r="S24" s="428">
        <f t="shared" si="5"/>
        <v>0.98369274023976738</v>
      </c>
      <c r="T24" s="451">
        <v>0</v>
      </c>
      <c r="U24" s="428">
        <v>0</v>
      </c>
      <c r="V24" s="451"/>
      <c r="W24" s="428">
        <f t="shared" si="6"/>
        <v>0.98369274023976738</v>
      </c>
    </row>
    <row r="25" spans="2:23" s="11" customFormat="1" x14ac:dyDescent="0.3">
      <c r="B25" s="448">
        <f t="shared" si="7"/>
        <v>12</v>
      </c>
      <c r="C25" s="450" t="s">
        <v>261</v>
      </c>
      <c r="D25" s="451">
        <v>2.1976664630416263</v>
      </c>
      <c r="E25" s="451">
        <v>0</v>
      </c>
      <c r="F25" s="451">
        <v>0</v>
      </c>
      <c r="G25" s="451"/>
      <c r="H25" s="451">
        <f t="shared" si="1"/>
        <v>2.1976664630416263</v>
      </c>
      <c r="I25" s="428">
        <f t="shared" si="2"/>
        <v>2.1976664630416263</v>
      </c>
      <c r="J25" s="451">
        <v>0</v>
      </c>
      <c r="K25" s="451">
        <v>0</v>
      </c>
      <c r="L25" s="451"/>
      <c r="M25" s="428">
        <f t="shared" si="3"/>
        <v>2.1976664630416263</v>
      </c>
      <c r="N25" s="451">
        <f t="shared" si="0"/>
        <v>2.1976664630416263</v>
      </c>
      <c r="O25" s="451">
        <v>0</v>
      </c>
      <c r="P25" s="451">
        <v>0</v>
      </c>
      <c r="Q25" s="451"/>
      <c r="R25" s="451">
        <f t="shared" si="4"/>
        <v>2.1976664630416263</v>
      </c>
      <c r="S25" s="428">
        <f t="shared" si="5"/>
        <v>2.1976664630416263</v>
      </c>
      <c r="T25" s="451">
        <v>0</v>
      </c>
      <c r="U25" s="428">
        <v>0</v>
      </c>
      <c r="V25" s="451"/>
      <c r="W25" s="428">
        <f t="shared" si="6"/>
        <v>2.1976664630416263</v>
      </c>
    </row>
    <row r="26" spans="2:23" s="11" customFormat="1" x14ac:dyDescent="0.3">
      <c r="B26" s="448">
        <f t="shared" si="7"/>
        <v>13</v>
      </c>
      <c r="C26" s="450" t="s">
        <v>899</v>
      </c>
      <c r="D26" s="451">
        <v>0</v>
      </c>
      <c r="E26" s="451">
        <v>0</v>
      </c>
      <c r="F26" s="451">
        <v>0</v>
      </c>
      <c r="G26" s="451"/>
      <c r="H26" s="451">
        <f t="shared" si="1"/>
        <v>0</v>
      </c>
      <c r="I26" s="428">
        <f t="shared" si="2"/>
        <v>0</v>
      </c>
      <c r="J26" s="451">
        <v>0</v>
      </c>
      <c r="K26" s="451">
        <v>0</v>
      </c>
      <c r="L26" s="451"/>
      <c r="M26" s="428">
        <f t="shared" si="3"/>
        <v>0</v>
      </c>
      <c r="N26" s="451">
        <f t="shared" si="0"/>
        <v>0</v>
      </c>
      <c r="O26" s="451">
        <v>0</v>
      </c>
      <c r="P26" s="451">
        <v>0</v>
      </c>
      <c r="Q26" s="451"/>
      <c r="R26" s="451">
        <f t="shared" si="4"/>
        <v>0</v>
      </c>
      <c r="S26" s="428">
        <f t="shared" si="5"/>
        <v>0</v>
      </c>
      <c r="T26" s="451">
        <v>0</v>
      </c>
      <c r="U26" s="428">
        <v>0</v>
      </c>
      <c r="V26" s="451"/>
      <c r="W26" s="428">
        <f t="shared" ref="W26:W30" si="8">S26+T26-U26-V26</f>
        <v>0</v>
      </c>
    </row>
    <row r="27" spans="2:23" s="11" customFormat="1" x14ac:dyDescent="0.3">
      <c r="B27" s="448">
        <f t="shared" si="7"/>
        <v>14</v>
      </c>
      <c r="C27" s="450" t="s">
        <v>900</v>
      </c>
      <c r="D27" s="451">
        <v>0</v>
      </c>
      <c r="E27" s="451">
        <v>0.258863014</v>
      </c>
      <c r="F27" s="451">
        <v>0.28014050000000001</v>
      </c>
      <c r="G27" s="451"/>
      <c r="H27" s="451">
        <f t="shared" si="1"/>
        <v>-2.1277486000000012E-2</v>
      </c>
      <c r="I27" s="428">
        <f t="shared" si="2"/>
        <v>-2.1277486000000012E-2</v>
      </c>
      <c r="J27" s="451">
        <v>6.3896999999999999E-3</v>
      </c>
      <c r="K27" s="451">
        <v>0</v>
      </c>
      <c r="L27" s="451"/>
      <c r="M27" s="428">
        <f t="shared" si="3"/>
        <v>-1.4887786000000012E-2</v>
      </c>
      <c r="N27" s="451">
        <f t="shared" si="0"/>
        <v>-1.4887786000000012E-2</v>
      </c>
      <c r="O27" s="451">
        <v>0</v>
      </c>
      <c r="P27" s="451">
        <v>0</v>
      </c>
      <c r="Q27" s="451"/>
      <c r="R27" s="451">
        <f t="shared" si="4"/>
        <v>-1.4887786000000012E-2</v>
      </c>
      <c r="S27" s="428">
        <f t="shared" si="5"/>
        <v>-1.4887786000000012E-2</v>
      </c>
      <c r="T27" s="451">
        <v>0</v>
      </c>
      <c r="U27" s="428">
        <v>0</v>
      </c>
      <c r="V27" s="451"/>
      <c r="W27" s="428">
        <f t="shared" si="8"/>
        <v>-1.4887786000000012E-2</v>
      </c>
    </row>
    <row r="28" spans="2:23" s="11" customFormat="1" x14ac:dyDescent="0.3">
      <c r="B28" s="448">
        <f t="shared" si="7"/>
        <v>15</v>
      </c>
      <c r="C28" s="450" t="s">
        <v>901</v>
      </c>
      <c r="D28" s="451">
        <v>0</v>
      </c>
      <c r="E28" s="451">
        <v>0</v>
      </c>
      <c r="F28" s="451">
        <v>0</v>
      </c>
      <c r="G28" s="451"/>
      <c r="H28" s="451">
        <f t="shared" si="1"/>
        <v>0</v>
      </c>
      <c r="I28" s="428">
        <f t="shared" si="2"/>
        <v>0</v>
      </c>
      <c r="J28" s="451">
        <v>0</v>
      </c>
      <c r="K28" s="451">
        <v>0</v>
      </c>
      <c r="L28" s="451"/>
      <c r="M28" s="428">
        <f t="shared" si="3"/>
        <v>0</v>
      </c>
      <c r="N28" s="451">
        <f t="shared" si="0"/>
        <v>0</v>
      </c>
      <c r="O28" s="451">
        <v>0</v>
      </c>
      <c r="P28" s="451">
        <v>0</v>
      </c>
      <c r="Q28" s="451"/>
      <c r="R28" s="451">
        <f t="shared" si="4"/>
        <v>0</v>
      </c>
      <c r="S28" s="428">
        <f t="shared" si="5"/>
        <v>0</v>
      </c>
      <c r="T28" s="451">
        <v>0</v>
      </c>
      <c r="U28" s="428">
        <v>0</v>
      </c>
      <c r="V28" s="451"/>
      <c r="W28" s="428">
        <f t="shared" si="8"/>
        <v>0</v>
      </c>
    </row>
    <row r="29" spans="2:23" s="11" customFormat="1" x14ac:dyDescent="0.3">
      <c r="B29" s="448">
        <f t="shared" si="7"/>
        <v>16</v>
      </c>
      <c r="C29" s="450" t="s">
        <v>853</v>
      </c>
      <c r="D29" s="451">
        <v>0</v>
      </c>
      <c r="E29" s="451">
        <v>0</v>
      </c>
      <c r="F29" s="451">
        <v>0</v>
      </c>
      <c r="G29" s="451"/>
      <c r="H29" s="451">
        <f t="shared" si="1"/>
        <v>0</v>
      </c>
      <c r="I29" s="428">
        <f t="shared" si="2"/>
        <v>0</v>
      </c>
      <c r="J29" s="451">
        <v>0</v>
      </c>
      <c r="K29" s="451">
        <v>0</v>
      </c>
      <c r="L29" s="451"/>
      <c r="M29" s="428">
        <f t="shared" si="3"/>
        <v>0</v>
      </c>
      <c r="N29" s="451">
        <f t="shared" si="0"/>
        <v>0</v>
      </c>
      <c r="O29" s="451">
        <v>0</v>
      </c>
      <c r="P29" s="451">
        <v>0</v>
      </c>
      <c r="Q29" s="451"/>
      <c r="R29" s="451">
        <f t="shared" si="4"/>
        <v>0</v>
      </c>
      <c r="S29" s="428">
        <f t="shared" si="5"/>
        <v>0</v>
      </c>
      <c r="T29" s="451">
        <v>0</v>
      </c>
      <c r="U29" s="428">
        <v>0</v>
      </c>
      <c r="V29" s="451"/>
      <c r="W29" s="428">
        <f t="shared" si="8"/>
        <v>0</v>
      </c>
    </row>
    <row r="30" spans="2:23" s="11" customFormat="1" x14ac:dyDescent="0.3">
      <c r="B30" s="448">
        <f t="shared" si="7"/>
        <v>17</v>
      </c>
      <c r="C30" s="450" t="s">
        <v>902</v>
      </c>
      <c r="D30" s="451">
        <v>0</v>
      </c>
      <c r="E30" s="451">
        <v>0</v>
      </c>
      <c r="F30" s="451">
        <v>0</v>
      </c>
      <c r="G30" s="451"/>
      <c r="H30" s="451">
        <f t="shared" si="1"/>
        <v>0</v>
      </c>
      <c r="I30" s="428">
        <f t="shared" si="2"/>
        <v>0</v>
      </c>
      <c r="J30" s="451">
        <v>0</v>
      </c>
      <c r="K30" s="451">
        <v>0</v>
      </c>
      <c r="L30" s="451"/>
      <c r="M30" s="428">
        <f t="shared" si="3"/>
        <v>0</v>
      </c>
      <c r="N30" s="451">
        <f t="shared" si="0"/>
        <v>0</v>
      </c>
      <c r="O30" s="451">
        <v>0</v>
      </c>
      <c r="P30" s="451">
        <v>0</v>
      </c>
      <c r="Q30" s="451"/>
      <c r="R30" s="451">
        <f t="shared" si="4"/>
        <v>0</v>
      </c>
      <c r="S30" s="428">
        <f t="shared" si="5"/>
        <v>0</v>
      </c>
      <c r="T30" s="451">
        <v>0</v>
      </c>
      <c r="U30" s="428">
        <v>0</v>
      </c>
      <c r="V30" s="451"/>
      <c r="W30" s="428">
        <f t="shared" si="8"/>
        <v>0</v>
      </c>
    </row>
    <row r="31" spans="2:23" s="1" customFormat="1" ht="16" x14ac:dyDescent="0.3">
      <c r="B31" s="78"/>
      <c r="C31" s="92" t="s">
        <v>271</v>
      </c>
      <c r="D31" s="345">
        <f>SUM(D14:D30)</f>
        <v>465.85198681252064</v>
      </c>
      <c r="E31" s="345">
        <f>SUM(E14:E30)</f>
        <v>0.26236300800000001</v>
      </c>
      <c r="F31" s="345">
        <f t="shared" ref="F31:M31" si="9">SUM(F14:F30)</f>
        <v>0.28014050000000001</v>
      </c>
      <c r="G31" s="345">
        <f t="shared" si="9"/>
        <v>0</v>
      </c>
      <c r="H31" s="345">
        <f t="shared" si="9"/>
        <v>465.8342093205207</v>
      </c>
      <c r="I31" s="345">
        <f t="shared" si="9"/>
        <v>465.8342093205207</v>
      </c>
      <c r="J31" s="345">
        <f t="shared" si="9"/>
        <v>0.40792913599999997</v>
      </c>
      <c r="K31" s="345">
        <f t="shared" si="9"/>
        <v>0</v>
      </c>
      <c r="L31" s="345">
        <f t="shared" si="9"/>
        <v>0</v>
      </c>
      <c r="M31" s="345">
        <f t="shared" si="9"/>
        <v>466.24213845652071</v>
      </c>
      <c r="N31" s="345">
        <f t="shared" ref="N31:W31" si="10">SUM(N14:N30)</f>
        <v>466.24213845652071</v>
      </c>
      <c r="O31" s="345">
        <f t="shared" si="10"/>
        <v>5.6253527999999999</v>
      </c>
      <c r="P31" s="345">
        <f t="shared" si="10"/>
        <v>0</v>
      </c>
      <c r="Q31" s="345">
        <f t="shared" si="10"/>
        <v>0</v>
      </c>
      <c r="R31" s="345">
        <f t="shared" si="10"/>
        <v>471.86749125652068</v>
      </c>
      <c r="S31" s="345">
        <f t="shared" si="10"/>
        <v>471.86749125652068</v>
      </c>
      <c r="T31" s="345">
        <f t="shared" si="10"/>
        <v>0</v>
      </c>
      <c r="U31" s="345">
        <f t="shared" si="10"/>
        <v>0</v>
      </c>
      <c r="V31" s="345">
        <f t="shared" si="10"/>
        <v>0</v>
      </c>
      <c r="W31" s="345">
        <f t="shared" si="10"/>
        <v>471.86749125652068</v>
      </c>
    </row>
    <row r="32" spans="2:23" s="1" customFormat="1" x14ac:dyDescent="0.3">
      <c r="B32" s="362"/>
      <c r="C32" s="8"/>
      <c r="D32" s="8"/>
      <c r="E32" s="8"/>
      <c r="F32" s="8"/>
      <c r="G32" s="8"/>
      <c r="H32" s="8"/>
      <c r="J32" s="42"/>
      <c r="M32" s="42"/>
      <c r="N32" s="42"/>
    </row>
    <row r="33" spans="1:33" x14ac:dyDescent="0.3">
      <c r="B33" s="1769" t="s">
        <v>597</v>
      </c>
      <c r="C33" s="1769"/>
      <c r="D33" s="1769"/>
      <c r="E33" s="1769"/>
      <c r="F33" s="1769"/>
      <c r="G33" s="1769"/>
      <c r="H33" s="8"/>
      <c r="I33" s="1"/>
      <c r="J33" s="42"/>
      <c r="K33" s="1"/>
      <c r="L33" s="1"/>
      <c r="M33" s="42"/>
      <c r="N33" s="42"/>
      <c r="O33" s="1"/>
      <c r="P33" s="1"/>
      <c r="Q33" s="1"/>
      <c r="R33" s="1"/>
    </row>
    <row r="34" spans="1:33" x14ac:dyDescent="0.3">
      <c r="B34" s="362"/>
      <c r="C34" s="8"/>
      <c r="D34" s="8"/>
      <c r="E34" s="8"/>
      <c r="F34" s="8"/>
      <c r="G34" s="8"/>
      <c r="H34" s="8"/>
      <c r="I34" s="1"/>
      <c r="J34" s="42"/>
      <c r="K34" s="1"/>
      <c r="L34" s="1"/>
      <c r="M34" s="42"/>
      <c r="N34" s="42"/>
      <c r="O34" s="1"/>
      <c r="P34" s="1"/>
      <c r="Q34" s="1"/>
      <c r="R34" s="1"/>
    </row>
    <row r="35" spans="1:33" ht="15.75" customHeight="1" x14ac:dyDescent="0.3">
      <c r="B35" s="362"/>
      <c r="C35" s="8"/>
      <c r="D35" s="8"/>
      <c r="E35" s="8"/>
      <c r="F35" s="8"/>
      <c r="G35" s="8"/>
      <c r="H35" s="8"/>
      <c r="I35" s="1"/>
      <c r="J35" s="42"/>
      <c r="K35" s="1"/>
      <c r="L35" s="1"/>
      <c r="M35" s="42"/>
      <c r="N35" s="42"/>
      <c r="O35" s="1"/>
      <c r="P35" s="1"/>
      <c r="Q35" s="1"/>
      <c r="AG35" s="255" t="s">
        <v>10</v>
      </c>
    </row>
    <row r="36" spans="1:33" ht="15.75" customHeight="1" x14ac:dyDescent="0.3">
      <c r="B36" s="1639" t="s">
        <v>340</v>
      </c>
      <c r="C36" s="1639" t="s">
        <v>38</v>
      </c>
      <c r="D36" s="1766" t="s">
        <v>1068</v>
      </c>
      <c r="E36" s="1767"/>
      <c r="F36" s="1767"/>
      <c r="G36" s="1767"/>
      <c r="H36" s="1768"/>
      <c r="I36" s="1766" t="s">
        <v>1069</v>
      </c>
      <c r="J36" s="1767"/>
      <c r="K36" s="1767"/>
      <c r="L36" s="1767"/>
      <c r="M36" s="1768"/>
      <c r="N36" s="1758" t="s">
        <v>1070</v>
      </c>
      <c r="O36" s="1758"/>
      <c r="P36" s="1758"/>
      <c r="Q36" s="1758"/>
      <c r="R36" s="1758"/>
      <c r="S36" s="1758" t="s">
        <v>1071</v>
      </c>
      <c r="T36" s="1758"/>
      <c r="U36" s="1758"/>
      <c r="V36" s="1758"/>
      <c r="W36" s="1758"/>
    </row>
    <row r="37" spans="1:33" s="35" customFormat="1" x14ac:dyDescent="0.3">
      <c r="B37" s="1639"/>
      <c r="C37" s="1639"/>
      <c r="D37" s="1759" t="s">
        <v>21</v>
      </c>
      <c r="E37" s="1760"/>
      <c r="F37" s="1760"/>
      <c r="G37" s="1760"/>
      <c r="H37" s="1761"/>
      <c r="I37" s="1759" t="s">
        <v>21</v>
      </c>
      <c r="J37" s="1760"/>
      <c r="K37" s="1760"/>
      <c r="L37" s="1760"/>
      <c r="M37" s="1761"/>
      <c r="N37" s="1762" t="s">
        <v>21</v>
      </c>
      <c r="O37" s="1763"/>
      <c r="P37" s="1763"/>
      <c r="Q37" s="1763"/>
      <c r="R37" s="1763"/>
      <c r="S37" s="1762" t="s">
        <v>21</v>
      </c>
      <c r="T37" s="1763"/>
      <c r="U37" s="1763"/>
      <c r="V37" s="1763"/>
      <c r="W37" s="1763"/>
    </row>
    <row r="38" spans="1:33" s="36" customFormat="1" ht="42" x14ac:dyDescent="0.25">
      <c r="B38" s="1639"/>
      <c r="C38" s="1639"/>
      <c r="D38" s="807" t="s">
        <v>267</v>
      </c>
      <c r="E38" s="807" t="s">
        <v>268</v>
      </c>
      <c r="F38" s="807" t="s">
        <v>269</v>
      </c>
      <c r="G38" s="806" t="s">
        <v>586</v>
      </c>
      <c r="H38" s="807" t="s">
        <v>270</v>
      </c>
      <c r="I38" s="807" t="s">
        <v>267</v>
      </c>
      <c r="J38" s="807" t="s">
        <v>268</v>
      </c>
      <c r="K38" s="807" t="s">
        <v>269</v>
      </c>
      <c r="L38" s="806" t="s">
        <v>586</v>
      </c>
      <c r="M38" s="807" t="s">
        <v>270</v>
      </c>
      <c r="N38" s="645" t="s">
        <v>267</v>
      </c>
      <c r="O38" s="645" t="s">
        <v>268</v>
      </c>
      <c r="P38" s="645" t="s">
        <v>269</v>
      </c>
      <c r="Q38" s="640" t="s">
        <v>586</v>
      </c>
      <c r="R38" s="645" t="s">
        <v>270</v>
      </c>
      <c r="S38" s="645" t="s">
        <v>267</v>
      </c>
      <c r="T38" s="645" t="s">
        <v>268</v>
      </c>
      <c r="U38" s="645" t="s">
        <v>269</v>
      </c>
      <c r="V38" s="640" t="s">
        <v>586</v>
      </c>
      <c r="W38" s="645" t="s">
        <v>270</v>
      </c>
    </row>
    <row r="39" spans="1:33" s="6" customFormat="1" ht="28" x14ac:dyDescent="0.3">
      <c r="B39" s="256"/>
      <c r="C39" s="256"/>
      <c r="D39" s="256" t="s">
        <v>594</v>
      </c>
      <c r="E39" s="256" t="s">
        <v>595</v>
      </c>
      <c r="F39" s="256" t="s">
        <v>596</v>
      </c>
      <c r="G39" s="256" t="s">
        <v>655</v>
      </c>
      <c r="H39" s="256" t="s">
        <v>656</v>
      </c>
      <c r="I39" s="256" t="s">
        <v>657</v>
      </c>
      <c r="J39" s="256" t="s">
        <v>658</v>
      </c>
      <c r="K39" s="256" t="s">
        <v>659</v>
      </c>
      <c r="L39" s="256" t="s">
        <v>660</v>
      </c>
      <c r="M39" s="256" t="s">
        <v>661</v>
      </c>
      <c r="N39" s="256" t="s">
        <v>662</v>
      </c>
      <c r="O39" s="256" t="s">
        <v>663</v>
      </c>
      <c r="P39" s="256" t="s">
        <v>664</v>
      </c>
      <c r="Q39" s="256" t="s">
        <v>665</v>
      </c>
      <c r="R39" s="256" t="s">
        <v>666</v>
      </c>
      <c r="S39" s="256" t="s">
        <v>1156</v>
      </c>
      <c r="T39" s="256" t="s">
        <v>1157</v>
      </c>
      <c r="U39" s="256" t="s">
        <v>1158</v>
      </c>
      <c r="V39" s="256" t="s">
        <v>1159</v>
      </c>
      <c r="W39" s="256" t="s">
        <v>1160</v>
      </c>
    </row>
    <row r="40" spans="1:33" s="404" customFormat="1" x14ac:dyDescent="0.3">
      <c r="B40" s="448">
        <v>1</v>
      </c>
      <c r="C40" s="450" t="s">
        <v>845</v>
      </c>
      <c r="D40" s="428">
        <f t="shared" ref="D40:D56" si="11">W14</f>
        <v>3.6007118999999994</v>
      </c>
      <c r="E40" s="451">
        <v>0</v>
      </c>
      <c r="F40" s="428">
        <v>0</v>
      </c>
      <c r="G40" s="451"/>
      <c r="H40" s="428">
        <f>D40+E40-F40-G40</f>
        <v>3.6007118999999994</v>
      </c>
      <c r="I40" s="428">
        <f>H40</f>
        <v>3.6007118999999994</v>
      </c>
      <c r="J40" s="451">
        <v>0</v>
      </c>
      <c r="K40" s="428">
        <v>0</v>
      </c>
      <c r="L40" s="451"/>
      <c r="M40" s="428">
        <f>I40+J40-K40-L40</f>
        <v>3.6007118999999994</v>
      </c>
      <c r="N40" s="428">
        <f>M40</f>
        <v>3.6007118999999994</v>
      </c>
      <c r="O40" s="451">
        <v>0</v>
      </c>
      <c r="P40" s="428">
        <v>0</v>
      </c>
      <c r="Q40" s="451"/>
      <c r="R40" s="428">
        <f>N40+O40-P40-Q40</f>
        <v>3.6007118999999994</v>
      </c>
      <c r="S40" s="428">
        <f>R40</f>
        <v>3.6007118999999994</v>
      </c>
      <c r="T40" s="451">
        <v>0</v>
      </c>
      <c r="U40" s="428">
        <v>0</v>
      </c>
      <c r="V40" s="451"/>
      <c r="W40" s="428">
        <f>S40+T40-U40-V40</f>
        <v>3.6007118999999994</v>
      </c>
    </row>
    <row r="41" spans="1:33" s="404" customFormat="1" x14ac:dyDescent="0.3">
      <c r="B41" s="448">
        <f>B40+1</f>
        <v>2</v>
      </c>
      <c r="C41" s="450" t="s">
        <v>846</v>
      </c>
      <c r="D41" s="428">
        <f t="shared" si="11"/>
        <v>18.54565659589041</v>
      </c>
      <c r="E41" s="451">
        <v>0</v>
      </c>
      <c r="F41" s="428">
        <v>0</v>
      </c>
      <c r="G41" s="451"/>
      <c r="H41" s="428">
        <f t="shared" ref="H41:H56" si="12">D41+E41-F41-G41</f>
        <v>18.54565659589041</v>
      </c>
      <c r="I41" s="428">
        <f t="shared" ref="I41:I56" si="13">H41</f>
        <v>18.54565659589041</v>
      </c>
      <c r="J41" s="451">
        <v>0</v>
      </c>
      <c r="K41" s="428">
        <v>0</v>
      </c>
      <c r="L41" s="451"/>
      <c r="M41" s="428">
        <f t="shared" ref="M41:M56" si="14">I41+J41-K41-L41</f>
        <v>18.54565659589041</v>
      </c>
      <c r="N41" s="428">
        <f t="shared" ref="N41:N56" si="15">M41</f>
        <v>18.54565659589041</v>
      </c>
      <c r="O41" s="451">
        <v>0</v>
      </c>
      <c r="P41" s="428">
        <v>0</v>
      </c>
      <c r="Q41" s="451"/>
      <c r="R41" s="428">
        <f t="shared" ref="R41:R56" si="16">N41+O41-P41-Q41</f>
        <v>18.54565659589041</v>
      </c>
      <c r="S41" s="428">
        <f t="shared" ref="S41:S56" si="17">R41</f>
        <v>18.54565659589041</v>
      </c>
      <c r="T41" s="451">
        <v>0</v>
      </c>
      <c r="U41" s="428">
        <v>0</v>
      </c>
      <c r="V41" s="451"/>
      <c r="W41" s="428">
        <f t="shared" ref="W41:W56" si="18">S41+T41-U41-V41</f>
        <v>18.54565659589041</v>
      </c>
    </row>
    <row r="42" spans="1:33" s="11" customFormat="1" x14ac:dyDescent="0.3">
      <c r="A42" s="404"/>
      <c r="B42" s="448">
        <f t="shared" ref="B42:B56" si="19">B41+1</f>
        <v>3</v>
      </c>
      <c r="C42" s="450" t="s">
        <v>847</v>
      </c>
      <c r="D42" s="428">
        <f t="shared" si="11"/>
        <v>0</v>
      </c>
      <c r="E42" s="451">
        <v>0</v>
      </c>
      <c r="F42" s="428">
        <v>0</v>
      </c>
      <c r="G42" s="451"/>
      <c r="H42" s="428">
        <f t="shared" si="12"/>
        <v>0</v>
      </c>
      <c r="I42" s="428">
        <f t="shared" si="13"/>
        <v>0</v>
      </c>
      <c r="J42" s="451">
        <v>0</v>
      </c>
      <c r="K42" s="428">
        <v>0</v>
      </c>
      <c r="L42" s="451"/>
      <c r="M42" s="428">
        <f t="shared" si="14"/>
        <v>0</v>
      </c>
      <c r="N42" s="428">
        <f t="shared" si="15"/>
        <v>0</v>
      </c>
      <c r="O42" s="451">
        <v>0</v>
      </c>
      <c r="P42" s="428">
        <v>0</v>
      </c>
      <c r="Q42" s="451"/>
      <c r="R42" s="428">
        <f t="shared" si="16"/>
        <v>0</v>
      </c>
      <c r="S42" s="428">
        <f t="shared" si="17"/>
        <v>0</v>
      </c>
      <c r="T42" s="451">
        <v>0</v>
      </c>
      <c r="U42" s="428">
        <v>0</v>
      </c>
      <c r="V42" s="451"/>
      <c r="W42" s="428">
        <f t="shared" si="18"/>
        <v>0</v>
      </c>
    </row>
    <row r="43" spans="1:33" s="11" customFormat="1" x14ac:dyDescent="0.3">
      <c r="A43" s="404"/>
      <c r="B43" s="448">
        <f t="shared" si="19"/>
        <v>4</v>
      </c>
      <c r="C43" s="450" t="s">
        <v>848</v>
      </c>
      <c r="D43" s="428">
        <f t="shared" si="11"/>
        <v>68.092653000000013</v>
      </c>
      <c r="E43" s="451">
        <v>0</v>
      </c>
      <c r="F43" s="428">
        <v>0</v>
      </c>
      <c r="G43" s="451"/>
      <c r="H43" s="428">
        <f t="shared" si="12"/>
        <v>68.092653000000013</v>
      </c>
      <c r="I43" s="428">
        <f t="shared" si="13"/>
        <v>68.092653000000013</v>
      </c>
      <c r="J43" s="451">
        <v>0</v>
      </c>
      <c r="K43" s="428">
        <v>0</v>
      </c>
      <c r="L43" s="451"/>
      <c r="M43" s="428">
        <f t="shared" si="14"/>
        <v>68.092653000000013</v>
      </c>
      <c r="N43" s="428">
        <f t="shared" si="15"/>
        <v>68.092653000000013</v>
      </c>
      <c r="O43" s="451">
        <v>0</v>
      </c>
      <c r="P43" s="428">
        <v>0</v>
      </c>
      <c r="Q43" s="451"/>
      <c r="R43" s="428">
        <f t="shared" si="16"/>
        <v>68.092653000000013</v>
      </c>
      <c r="S43" s="428">
        <f t="shared" si="17"/>
        <v>68.092653000000013</v>
      </c>
      <c r="T43" s="451">
        <v>0</v>
      </c>
      <c r="U43" s="428">
        <v>0</v>
      </c>
      <c r="V43" s="451"/>
      <c r="W43" s="428">
        <f t="shared" si="18"/>
        <v>68.092653000000013</v>
      </c>
    </row>
    <row r="44" spans="1:33" s="11" customFormat="1" x14ac:dyDescent="0.3">
      <c r="A44" s="404"/>
      <c r="B44" s="448">
        <f t="shared" si="19"/>
        <v>5</v>
      </c>
      <c r="C44" s="450" t="s">
        <v>849</v>
      </c>
      <c r="D44" s="428">
        <f t="shared" si="11"/>
        <v>84.548094000000006</v>
      </c>
      <c r="E44" s="451">
        <v>0</v>
      </c>
      <c r="F44" s="428">
        <v>0</v>
      </c>
      <c r="G44" s="451"/>
      <c r="H44" s="428">
        <f t="shared" si="12"/>
        <v>84.548094000000006</v>
      </c>
      <c r="I44" s="428">
        <f t="shared" si="13"/>
        <v>84.548094000000006</v>
      </c>
      <c r="J44" s="451">
        <v>0</v>
      </c>
      <c r="K44" s="428">
        <v>0</v>
      </c>
      <c r="L44" s="451"/>
      <c r="M44" s="428">
        <f t="shared" si="14"/>
        <v>84.548094000000006</v>
      </c>
      <c r="N44" s="428">
        <f t="shared" si="15"/>
        <v>84.548094000000006</v>
      </c>
      <c r="O44" s="451">
        <v>0</v>
      </c>
      <c r="P44" s="428">
        <v>0</v>
      </c>
      <c r="Q44" s="451"/>
      <c r="R44" s="428">
        <f t="shared" si="16"/>
        <v>84.548094000000006</v>
      </c>
      <c r="S44" s="428">
        <f t="shared" si="17"/>
        <v>84.548094000000006</v>
      </c>
      <c r="T44" s="451">
        <v>0</v>
      </c>
      <c r="U44" s="428">
        <v>0</v>
      </c>
      <c r="V44" s="451"/>
      <c r="W44" s="428">
        <f t="shared" si="18"/>
        <v>84.548094000000006</v>
      </c>
    </row>
    <row r="45" spans="1:33" s="11" customFormat="1" x14ac:dyDescent="0.3">
      <c r="A45" s="404"/>
      <c r="B45" s="448">
        <f t="shared" si="19"/>
        <v>6</v>
      </c>
      <c r="C45" s="450" t="s">
        <v>256</v>
      </c>
      <c r="D45" s="428">
        <f t="shared" si="11"/>
        <v>290.00188582518444</v>
      </c>
      <c r="E45" s="451">
        <v>0</v>
      </c>
      <c r="F45" s="428">
        <v>0</v>
      </c>
      <c r="G45" s="451"/>
      <c r="H45" s="428">
        <f t="shared" si="12"/>
        <v>290.00188582518444</v>
      </c>
      <c r="I45" s="428">
        <f t="shared" si="13"/>
        <v>290.00188582518444</v>
      </c>
      <c r="J45" s="451">
        <v>0</v>
      </c>
      <c r="K45" s="428">
        <v>0</v>
      </c>
      <c r="L45" s="451"/>
      <c r="M45" s="428">
        <f t="shared" si="14"/>
        <v>290.00188582518444</v>
      </c>
      <c r="N45" s="428">
        <f t="shared" si="15"/>
        <v>290.00188582518444</v>
      </c>
      <c r="O45" s="451">
        <v>0</v>
      </c>
      <c r="P45" s="428">
        <v>0</v>
      </c>
      <c r="Q45" s="451"/>
      <c r="R45" s="428">
        <f t="shared" si="16"/>
        <v>290.00188582518444</v>
      </c>
      <c r="S45" s="428">
        <f t="shared" si="17"/>
        <v>290.00188582518444</v>
      </c>
      <c r="T45" s="451">
        <v>0</v>
      </c>
      <c r="U45" s="428">
        <v>0</v>
      </c>
      <c r="V45" s="451"/>
      <c r="W45" s="428">
        <f t="shared" si="18"/>
        <v>290.00188582518444</v>
      </c>
    </row>
    <row r="46" spans="1:33" s="11" customFormat="1" x14ac:dyDescent="0.3">
      <c r="A46" s="404"/>
      <c r="B46" s="448">
        <f t="shared" si="19"/>
        <v>7</v>
      </c>
      <c r="C46" s="450" t="s">
        <v>850</v>
      </c>
      <c r="D46" s="428">
        <f t="shared" si="11"/>
        <v>2.5012226291655084</v>
      </c>
      <c r="E46" s="451">
        <v>0</v>
      </c>
      <c r="F46" s="428">
        <v>0</v>
      </c>
      <c r="G46" s="451"/>
      <c r="H46" s="428">
        <f t="shared" si="12"/>
        <v>2.5012226291655084</v>
      </c>
      <c r="I46" s="428">
        <f t="shared" si="13"/>
        <v>2.5012226291655084</v>
      </c>
      <c r="J46" s="451">
        <v>0</v>
      </c>
      <c r="K46" s="428">
        <v>0</v>
      </c>
      <c r="L46" s="451"/>
      <c r="M46" s="428">
        <f t="shared" si="14"/>
        <v>2.5012226291655084</v>
      </c>
      <c r="N46" s="428">
        <f t="shared" si="15"/>
        <v>2.5012226291655084</v>
      </c>
      <c r="O46" s="451">
        <v>0</v>
      </c>
      <c r="P46" s="428">
        <v>0</v>
      </c>
      <c r="Q46" s="451"/>
      <c r="R46" s="428">
        <f t="shared" si="16"/>
        <v>2.5012226291655084</v>
      </c>
      <c r="S46" s="428">
        <f t="shared" si="17"/>
        <v>2.5012226291655084</v>
      </c>
      <c r="T46" s="451">
        <v>0</v>
      </c>
      <c r="U46" s="428">
        <v>0</v>
      </c>
      <c r="V46" s="451"/>
      <c r="W46" s="428">
        <f t="shared" si="18"/>
        <v>2.5012226291655084</v>
      </c>
    </row>
    <row r="47" spans="1:33" s="11" customFormat="1" x14ac:dyDescent="0.3">
      <c r="A47" s="404"/>
      <c r="B47" s="448">
        <f t="shared" si="19"/>
        <v>8</v>
      </c>
      <c r="C47" s="450" t="s">
        <v>851</v>
      </c>
      <c r="D47" s="428">
        <f t="shared" si="11"/>
        <v>6.1432788998907202E-2</v>
      </c>
      <c r="E47" s="451">
        <v>0</v>
      </c>
      <c r="F47" s="428">
        <v>0</v>
      </c>
      <c r="G47" s="451"/>
      <c r="H47" s="428">
        <f t="shared" si="12"/>
        <v>6.1432788998907202E-2</v>
      </c>
      <c r="I47" s="428">
        <f t="shared" si="13"/>
        <v>6.1432788998907202E-2</v>
      </c>
      <c r="J47" s="451">
        <v>0</v>
      </c>
      <c r="K47" s="428">
        <v>0</v>
      </c>
      <c r="L47" s="451"/>
      <c r="M47" s="428">
        <f t="shared" si="14"/>
        <v>6.1432788998907202E-2</v>
      </c>
      <c r="N47" s="428">
        <f t="shared" si="15"/>
        <v>6.1432788998907202E-2</v>
      </c>
      <c r="O47" s="451">
        <v>0</v>
      </c>
      <c r="P47" s="428">
        <v>0</v>
      </c>
      <c r="Q47" s="451"/>
      <c r="R47" s="428">
        <f t="shared" si="16"/>
        <v>6.1432788998907202E-2</v>
      </c>
      <c r="S47" s="428">
        <f t="shared" si="17"/>
        <v>6.1432788998907202E-2</v>
      </c>
      <c r="T47" s="451">
        <v>0</v>
      </c>
      <c r="U47" s="428">
        <v>0</v>
      </c>
      <c r="V47" s="451"/>
      <c r="W47" s="428">
        <f t="shared" si="18"/>
        <v>6.1432788998907202E-2</v>
      </c>
    </row>
    <row r="48" spans="1:33" s="11" customFormat="1" x14ac:dyDescent="0.3">
      <c r="A48" s="404"/>
      <c r="B48" s="448">
        <f t="shared" si="19"/>
        <v>9</v>
      </c>
      <c r="C48" s="450" t="s">
        <v>852</v>
      </c>
      <c r="D48" s="428">
        <f t="shared" si="11"/>
        <v>0</v>
      </c>
      <c r="E48" s="451">
        <v>0</v>
      </c>
      <c r="F48" s="428">
        <v>0</v>
      </c>
      <c r="G48" s="451"/>
      <c r="H48" s="428">
        <f t="shared" si="12"/>
        <v>0</v>
      </c>
      <c r="I48" s="428">
        <f t="shared" si="13"/>
        <v>0</v>
      </c>
      <c r="J48" s="451">
        <v>0</v>
      </c>
      <c r="K48" s="428">
        <v>0</v>
      </c>
      <c r="L48" s="451"/>
      <c r="M48" s="428">
        <f t="shared" si="14"/>
        <v>0</v>
      </c>
      <c r="N48" s="428">
        <f t="shared" si="15"/>
        <v>0</v>
      </c>
      <c r="O48" s="451">
        <v>0</v>
      </c>
      <c r="P48" s="428">
        <v>0</v>
      </c>
      <c r="Q48" s="451"/>
      <c r="R48" s="428">
        <f t="shared" si="16"/>
        <v>0</v>
      </c>
      <c r="S48" s="428">
        <f t="shared" si="17"/>
        <v>0</v>
      </c>
      <c r="T48" s="451">
        <v>0</v>
      </c>
      <c r="U48" s="428">
        <v>0</v>
      </c>
      <c r="V48" s="451"/>
      <c r="W48" s="428">
        <f t="shared" si="18"/>
        <v>0</v>
      </c>
    </row>
    <row r="49" spans="1:23" s="11" customFormat="1" x14ac:dyDescent="0.3">
      <c r="A49" s="404"/>
      <c r="B49" s="448">
        <f t="shared" si="19"/>
        <v>10</v>
      </c>
      <c r="C49" s="450" t="s">
        <v>259</v>
      </c>
      <c r="D49" s="428">
        <f t="shared" si="11"/>
        <v>1.3493630999999997</v>
      </c>
      <c r="E49" s="451">
        <v>0</v>
      </c>
      <c r="F49" s="428">
        <v>0</v>
      </c>
      <c r="G49" s="451"/>
      <c r="H49" s="428">
        <f t="shared" si="12"/>
        <v>1.3493630999999997</v>
      </c>
      <c r="I49" s="428">
        <f t="shared" si="13"/>
        <v>1.3493630999999997</v>
      </c>
      <c r="J49" s="451">
        <v>0</v>
      </c>
      <c r="K49" s="428">
        <v>0</v>
      </c>
      <c r="L49" s="451"/>
      <c r="M49" s="428">
        <f t="shared" si="14"/>
        <v>1.3493630999999997</v>
      </c>
      <c r="N49" s="428">
        <f t="shared" si="15"/>
        <v>1.3493630999999997</v>
      </c>
      <c r="O49" s="451">
        <v>0</v>
      </c>
      <c r="P49" s="428">
        <v>0</v>
      </c>
      <c r="Q49" s="451"/>
      <c r="R49" s="428">
        <f t="shared" si="16"/>
        <v>1.3493630999999997</v>
      </c>
      <c r="S49" s="428">
        <f t="shared" si="17"/>
        <v>1.3493630999999997</v>
      </c>
      <c r="T49" s="451">
        <v>0</v>
      </c>
      <c r="U49" s="428">
        <v>0</v>
      </c>
      <c r="V49" s="451"/>
      <c r="W49" s="428">
        <f t="shared" si="18"/>
        <v>1.3493630999999997</v>
      </c>
    </row>
    <row r="50" spans="1:23" s="11" customFormat="1" x14ac:dyDescent="0.3">
      <c r="A50" s="404"/>
      <c r="B50" s="448">
        <f t="shared" si="19"/>
        <v>11</v>
      </c>
      <c r="C50" s="450" t="s">
        <v>260</v>
      </c>
      <c r="D50" s="428">
        <f t="shared" si="11"/>
        <v>0.98369274023976738</v>
      </c>
      <c r="E50" s="451">
        <v>0</v>
      </c>
      <c r="F50" s="428">
        <v>0</v>
      </c>
      <c r="G50" s="451"/>
      <c r="H50" s="428">
        <f t="shared" si="12"/>
        <v>0.98369274023976738</v>
      </c>
      <c r="I50" s="428">
        <f t="shared" si="13"/>
        <v>0.98369274023976738</v>
      </c>
      <c r="J50" s="451">
        <v>0</v>
      </c>
      <c r="K50" s="428">
        <v>0</v>
      </c>
      <c r="L50" s="451"/>
      <c r="M50" s="428">
        <f t="shared" si="14"/>
        <v>0.98369274023976738</v>
      </c>
      <c r="N50" s="428">
        <f t="shared" si="15"/>
        <v>0.98369274023976738</v>
      </c>
      <c r="O50" s="451">
        <v>0</v>
      </c>
      <c r="P50" s="428">
        <v>0</v>
      </c>
      <c r="Q50" s="451"/>
      <c r="R50" s="428">
        <f t="shared" si="16"/>
        <v>0.98369274023976738</v>
      </c>
      <c r="S50" s="428">
        <f t="shared" si="17"/>
        <v>0.98369274023976738</v>
      </c>
      <c r="T50" s="451">
        <v>0</v>
      </c>
      <c r="U50" s="428">
        <v>0</v>
      </c>
      <c r="V50" s="451"/>
      <c r="W50" s="428">
        <f t="shared" si="18"/>
        <v>0.98369274023976738</v>
      </c>
    </row>
    <row r="51" spans="1:23" s="2" customFormat="1" x14ac:dyDescent="0.3">
      <c r="A51" s="404"/>
      <c r="B51" s="448">
        <f t="shared" si="19"/>
        <v>12</v>
      </c>
      <c r="C51" s="450" t="s">
        <v>261</v>
      </c>
      <c r="D51" s="428">
        <f t="shared" si="11"/>
        <v>2.1976664630416263</v>
      </c>
      <c r="E51" s="451">
        <v>0</v>
      </c>
      <c r="F51" s="428">
        <v>0</v>
      </c>
      <c r="G51" s="451"/>
      <c r="H51" s="428">
        <f t="shared" si="12"/>
        <v>2.1976664630416263</v>
      </c>
      <c r="I51" s="428">
        <f t="shared" si="13"/>
        <v>2.1976664630416263</v>
      </c>
      <c r="J51" s="451">
        <v>0</v>
      </c>
      <c r="K51" s="428">
        <v>0</v>
      </c>
      <c r="L51" s="451"/>
      <c r="M51" s="428">
        <f t="shared" si="14"/>
        <v>2.1976664630416263</v>
      </c>
      <c r="N51" s="428">
        <f t="shared" si="15"/>
        <v>2.1976664630416263</v>
      </c>
      <c r="O51" s="451">
        <v>0</v>
      </c>
      <c r="P51" s="428">
        <v>0</v>
      </c>
      <c r="Q51" s="451"/>
      <c r="R51" s="428">
        <f t="shared" si="16"/>
        <v>2.1976664630416263</v>
      </c>
      <c r="S51" s="428">
        <f t="shared" si="17"/>
        <v>2.1976664630416263</v>
      </c>
      <c r="T51" s="451">
        <v>0</v>
      </c>
      <c r="U51" s="428">
        <v>0</v>
      </c>
      <c r="V51" s="451"/>
      <c r="W51" s="428">
        <f t="shared" si="18"/>
        <v>2.1976664630416263</v>
      </c>
    </row>
    <row r="52" spans="1:23" s="2" customFormat="1" x14ac:dyDescent="0.3">
      <c r="A52" s="404"/>
      <c r="B52" s="448">
        <f t="shared" si="19"/>
        <v>13</v>
      </c>
      <c r="C52" s="450" t="s">
        <v>899</v>
      </c>
      <c r="D52" s="428">
        <f t="shared" si="11"/>
        <v>0</v>
      </c>
      <c r="E52" s="451">
        <v>0</v>
      </c>
      <c r="F52" s="428">
        <v>0</v>
      </c>
      <c r="G52" s="451"/>
      <c r="H52" s="428">
        <f t="shared" si="12"/>
        <v>0</v>
      </c>
      <c r="I52" s="428">
        <f t="shared" si="13"/>
        <v>0</v>
      </c>
      <c r="J52" s="451">
        <v>0</v>
      </c>
      <c r="K52" s="428">
        <v>0</v>
      </c>
      <c r="L52" s="451"/>
      <c r="M52" s="428">
        <f t="shared" si="14"/>
        <v>0</v>
      </c>
      <c r="N52" s="428">
        <f t="shared" si="15"/>
        <v>0</v>
      </c>
      <c r="O52" s="451">
        <v>0</v>
      </c>
      <c r="P52" s="428">
        <v>0</v>
      </c>
      <c r="Q52" s="451"/>
      <c r="R52" s="428">
        <f t="shared" si="16"/>
        <v>0</v>
      </c>
      <c r="S52" s="428">
        <f t="shared" si="17"/>
        <v>0</v>
      </c>
      <c r="T52" s="451">
        <v>0</v>
      </c>
      <c r="U52" s="428">
        <v>0</v>
      </c>
      <c r="V52" s="451"/>
      <c r="W52" s="428">
        <f t="shared" si="18"/>
        <v>0</v>
      </c>
    </row>
    <row r="53" spans="1:23" s="2" customFormat="1" x14ac:dyDescent="0.3">
      <c r="A53" s="404"/>
      <c r="B53" s="448">
        <f t="shared" si="19"/>
        <v>14</v>
      </c>
      <c r="C53" s="450" t="s">
        <v>900</v>
      </c>
      <c r="D53" s="428">
        <f t="shared" si="11"/>
        <v>-1.4887786000000012E-2</v>
      </c>
      <c r="E53" s="451">
        <v>0</v>
      </c>
      <c r="F53" s="428">
        <v>0</v>
      </c>
      <c r="G53" s="451"/>
      <c r="H53" s="428">
        <f t="shared" si="12"/>
        <v>-1.4887786000000012E-2</v>
      </c>
      <c r="I53" s="428">
        <f t="shared" si="13"/>
        <v>-1.4887786000000012E-2</v>
      </c>
      <c r="J53" s="451">
        <v>0</v>
      </c>
      <c r="K53" s="428">
        <v>0</v>
      </c>
      <c r="L53" s="451"/>
      <c r="M53" s="428">
        <f t="shared" si="14"/>
        <v>-1.4887786000000012E-2</v>
      </c>
      <c r="N53" s="428">
        <f t="shared" si="15"/>
        <v>-1.4887786000000012E-2</v>
      </c>
      <c r="O53" s="451">
        <v>0</v>
      </c>
      <c r="P53" s="428">
        <v>0</v>
      </c>
      <c r="Q53" s="451"/>
      <c r="R53" s="428">
        <f t="shared" si="16"/>
        <v>-1.4887786000000012E-2</v>
      </c>
      <c r="S53" s="428">
        <f t="shared" si="17"/>
        <v>-1.4887786000000012E-2</v>
      </c>
      <c r="T53" s="451">
        <v>0</v>
      </c>
      <c r="U53" s="428">
        <v>0</v>
      </c>
      <c r="V53" s="451"/>
      <c r="W53" s="428">
        <f t="shared" si="18"/>
        <v>-1.4887786000000012E-2</v>
      </c>
    </row>
    <row r="54" spans="1:23" s="2" customFormat="1" x14ac:dyDescent="0.3">
      <c r="A54" s="404"/>
      <c r="B54" s="448">
        <f t="shared" si="19"/>
        <v>15</v>
      </c>
      <c r="C54" s="450" t="s">
        <v>901</v>
      </c>
      <c r="D54" s="428">
        <f t="shared" si="11"/>
        <v>0</v>
      </c>
      <c r="E54" s="451">
        <v>0</v>
      </c>
      <c r="F54" s="428">
        <v>0</v>
      </c>
      <c r="G54" s="451"/>
      <c r="H54" s="428">
        <f t="shared" si="12"/>
        <v>0</v>
      </c>
      <c r="I54" s="428">
        <f t="shared" si="13"/>
        <v>0</v>
      </c>
      <c r="J54" s="451">
        <v>0</v>
      </c>
      <c r="K54" s="428">
        <v>0</v>
      </c>
      <c r="L54" s="451"/>
      <c r="M54" s="428">
        <f t="shared" si="14"/>
        <v>0</v>
      </c>
      <c r="N54" s="428">
        <f t="shared" si="15"/>
        <v>0</v>
      </c>
      <c r="O54" s="451">
        <v>0</v>
      </c>
      <c r="P54" s="428">
        <v>0</v>
      </c>
      <c r="Q54" s="451"/>
      <c r="R54" s="428">
        <f t="shared" si="16"/>
        <v>0</v>
      </c>
      <c r="S54" s="428">
        <f t="shared" si="17"/>
        <v>0</v>
      </c>
      <c r="T54" s="451">
        <v>0</v>
      </c>
      <c r="U54" s="428">
        <v>0</v>
      </c>
      <c r="V54" s="451"/>
      <c r="W54" s="428">
        <f t="shared" si="18"/>
        <v>0</v>
      </c>
    </row>
    <row r="55" spans="1:23" s="2" customFormat="1" x14ac:dyDescent="0.3">
      <c r="A55" s="404"/>
      <c r="B55" s="448">
        <f t="shared" si="19"/>
        <v>16</v>
      </c>
      <c r="C55" s="450" t="s">
        <v>853</v>
      </c>
      <c r="D55" s="428">
        <f t="shared" si="11"/>
        <v>0</v>
      </c>
      <c r="E55" s="451">
        <v>0</v>
      </c>
      <c r="F55" s="428">
        <v>0</v>
      </c>
      <c r="G55" s="451"/>
      <c r="H55" s="428">
        <f t="shared" si="12"/>
        <v>0</v>
      </c>
      <c r="I55" s="428">
        <f t="shared" si="13"/>
        <v>0</v>
      </c>
      <c r="J55" s="451">
        <v>0</v>
      </c>
      <c r="K55" s="428">
        <v>0</v>
      </c>
      <c r="L55" s="451"/>
      <c r="M55" s="428">
        <f t="shared" si="14"/>
        <v>0</v>
      </c>
      <c r="N55" s="428">
        <f t="shared" si="15"/>
        <v>0</v>
      </c>
      <c r="O55" s="451">
        <v>0</v>
      </c>
      <c r="P55" s="428">
        <v>0</v>
      </c>
      <c r="Q55" s="451"/>
      <c r="R55" s="428">
        <f t="shared" si="16"/>
        <v>0</v>
      </c>
      <c r="S55" s="428">
        <f t="shared" si="17"/>
        <v>0</v>
      </c>
      <c r="T55" s="451">
        <v>0</v>
      </c>
      <c r="U55" s="428">
        <v>0</v>
      </c>
      <c r="V55" s="451"/>
      <c r="W55" s="428">
        <f t="shared" si="18"/>
        <v>0</v>
      </c>
    </row>
    <row r="56" spans="1:23" s="2" customFormat="1" x14ac:dyDescent="0.3">
      <c r="A56" s="404"/>
      <c r="B56" s="448">
        <f t="shared" si="19"/>
        <v>17</v>
      </c>
      <c r="C56" s="450" t="s">
        <v>902</v>
      </c>
      <c r="D56" s="428">
        <f t="shared" si="11"/>
        <v>0</v>
      </c>
      <c r="E56" s="451">
        <v>0</v>
      </c>
      <c r="F56" s="428">
        <v>0</v>
      </c>
      <c r="G56" s="451"/>
      <c r="H56" s="428">
        <f t="shared" si="12"/>
        <v>0</v>
      </c>
      <c r="I56" s="428">
        <f t="shared" si="13"/>
        <v>0</v>
      </c>
      <c r="J56" s="451">
        <v>0</v>
      </c>
      <c r="K56" s="428">
        <v>0</v>
      </c>
      <c r="L56" s="451"/>
      <c r="M56" s="428">
        <f t="shared" si="14"/>
        <v>0</v>
      </c>
      <c r="N56" s="428">
        <f t="shared" si="15"/>
        <v>0</v>
      </c>
      <c r="O56" s="451">
        <v>0</v>
      </c>
      <c r="P56" s="428">
        <v>0</v>
      </c>
      <c r="Q56" s="451"/>
      <c r="R56" s="428">
        <f t="shared" si="16"/>
        <v>0</v>
      </c>
      <c r="S56" s="428">
        <f t="shared" si="17"/>
        <v>0</v>
      </c>
      <c r="T56" s="451">
        <v>0</v>
      </c>
      <c r="U56" s="428">
        <v>0</v>
      </c>
      <c r="V56" s="451"/>
      <c r="W56" s="428">
        <f t="shared" si="18"/>
        <v>0</v>
      </c>
    </row>
    <row r="57" spans="1:23" s="1" customFormat="1" ht="16" x14ac:dyDescent="0.3">
      <c r="B57" s="78"/>
      <c r="C57" s="92" t="s">
        <v>271</v>
      </c>
      <c r="D57" s="345">
        <f>SUM(D40:D56)</f>
        <v>471.86749125652068</v>
      </c>
      <c r="E57" s="345">
        <f>SUM(E40:E56)</f>
        <v>0</v>
      </c>
      <c r="F57" s="345">
        <f>SUM(F40:F56)</f>
        <v>0</v>
      </c>
      <c r="G57" s="345">
        <f>SUM(G40:G56)</f>
        <v>0</v>
      </c>
      <c r="H57" s="345">
        <f>SUM(H40:H56)</f>
        <v>471.86749125652068</v>
      </c>
      <c r="I57" s="345">
        <f t="shared" ref="I57:M57" si="20">SUM(I40:I56)</f>
        <v>471.86749125652068</v>
      </c>
      <c r="J57" s="345">
        <f t="shared" si="20"/>
        <v>0</v>
      </c>
      <c r="K57" s="345">
        <f t="shared" si="20"/>
        <v>0</v>
      </c>
      <c r="L57" s="345">
        <f t="shared" si="20"/>
        <v>0</v>
      </c>
      <c r="M57" s="345">
        <f t="shared" si="20"/>
        <v>471.86749125652068</v>
      </c>
      <c r="N57" s="345">
        <f t="shared" ref="N57:W57" si="21">SUM(N40:N56)</f>
        <v>471.86749125652068</v>
      </c>
      <c r="O57" s="345">
        <f t="shared" si="21"/>
        <v>0</v>
      </c>
      <c r="P57" s="345">
        <f t="shared" si="21"/>
        <v>0</v>
      </c>
      <c r="Q57" s="345">
        <f t="shared" si="21"/>
        <v>0</v>
      </c>
      <c r="R57" s="345">
        <f t="shared" si="21"/>
        <v>471.86749125652068</v>
      </c>
      <c r="S57" s="345">
        <f t="shared" si="21"/>
        <v>471.86749125652068</v>
      </c>
      <c r="T57" s="345">
        <f t="shared" si="21"/>
        <v>0</v>
      </c>
      <c r="U57" s="345">
        <f t="shared" si="21"/>
        <v>0</v>
      </c>
      <c r="V57" s="345">
        <f t="shared" si="21"/>
        <v>0</v>
      </c>
      <c r="W57" s="345">
        <f t="shared" si="21"/>
        <v>471.86749125652068</v>
      </c>
    </row>
    <row r="58" spans="1:23" s="1" customFormat="1" ht="16" x14ac:dyDescent="0.3">
      <c r="B58" s="258"/>
      <c r="C58" s="258"/>
      <c r="D58" s="258"/>
      <c r="E58" s="258"/>
      <c r="F58" s="258"/>
      <c r="G58" s="258"/>
      <c r="H58" s="258"/>
      <c r="I58" s="258"/>
      <c r="J58" s="258"/>
      <c r="K58" s="258"/>
      <c r="L58" s="258"/>
      <c r="M58" s="258"/>
      <c r="N58" s="258"/>
      <c r="O58" s="258"/>
    </row>
    <row r="59" spans="1:23" ht="16" x14ac:dyDescent="0.3">
      <c r="B59" s="258"/>
      <c r="C59" s="258"/>
      <c r="D59" s="258"/>
      <c r="E59" s="258"/>
      <c r="F59" s="258"/>
      <c r="G59" s="258"/>
      <c r="H59" s="258"/>
      <c r="I59" s="258"/>
      <c r="J59" s="258"/>
      <c r="K59" s="258"/>
      <c r="L59" s="258"/>
      <c r="M59" s="258"/>
      <c r="N59" s="258"/>
      <c r="O59" s="258"/>
      <c r="P59" s="1"/>
      <c r="Q59" s="1"/>
      <c r="R59" s="1"/>
    </row>
    <row r="60" spans="1:23" x14ac:dyDescent="0.3">
      <c r="B60" s="1"/>
      <c r="C60" s="1"/>
      <c r="D60" s="1"/>
      <c r="E60" s="1"/>
      <c r="F60" s="1"/>
      <c r="G60" s="1"/>
      <c r="H60" s="1"/>
      <c r="I60" s="1"/>
      <c r="J60" s="1"/>
      <c r="K60" s="1"/>
      <c r="L60" s="1"/>
      <c r="M60" s="1"/>
      <c r="N60" s="1"/>
      <c r="O60" s="1"/>
      <c r="P60" s="1"/>
      <c r="Q60" s="1"/>
      <c r="R60" s="1"/>
    </row>
    <row r="61" spans="1:23" x14ac:dyDescent="0.3">
      <c r="B61" s="362" t="s">
        <v>272</v>
      </c>
      <c r="C61" s="1"/>
      <c r="D61" s="1"/>
      <c r="E61" s="1"/>
      <c r="F61" s="1"/>
      <c r="G61" s="1"/>
      <c r="H61" s="1"/>
      <c r="I61" s="1"/>
      <c r="J61" s="1"/>
      <c r="K61" s="1"/>
      <c r="L61" s="1"/>
      <c r="M61" s="1"/>
      <c r="N61" s="1"/>
      <c r="O61" s="1"/>
      <c r="P61" s="1"/>
      <c r="Q61" s="1"/>
      <c r="R61" s="1"/>
    </row>
    <row r="62" spans="1:23" x14ac:dyDescent="0.3">
      <c r="B62" s="362"/>
      <c r="C62" s="1"/>
      <c r="D62" s="1"/>
      <c r="E62" s="1"/>
      <c r="F62" s="1"/>
      <c r="G62" s="1"/>
      <c r="H62" s="1"/>
      <c r="I62" s="1"/>
      <c r="J62" s="1"/>
      <c r="K62" s="1"/>
      <c r="L62" s="1"/>
      <c r="M62" s="1"/>
      <c r="N62" s="1"/>
      <c r="O62" s="1"/>
      <c r="P62" s="1"/>
      <c r="Q62" s="1"/>
      <c r="R62" s="1"/>
    </row>
    <row r="63" spans="1:23" ht="15" customHeight="1" x14ac:dyDescent="0.3">
      <c r="B63" s="1"/>
      <c r="C63" s="1"/>
      <c r="D63" s="8"/>
      <c r="E63" s="8"/>
      <c r="F63" s="8"/>
      <c r="G63" s="8"/>
      <c r="H63" s="8"/>
      <c r="I63" s="1"/>
      <c r="J63" s="42"/>
      <c r="K63" s="1"/>
      <c r="L63" s="1"/>
      <c r="N63" s="42"/>
      <c r="O63" s="1"/>
      <c r="P63" s="1"/>
      <c r="Q63" s="1"/>
      <c r="W63" s="255" t="s">
        <v>10</v>
      </c>
    </row>
    <row r="64" spans="1:23" ht="15" customHeight="1" x14ac:dyDescent="0.3">
      <c r="B64" s="1639" t="s">
        <v>340</v>
      </c>
      <c r="C64" s="1639" t="s">
        <v>38</v>
      </c>
      <c r="D64" s="1759" t="s">
        <v>505</v>
      </c>
      <c r="E64" s="1760"/>
      <c r="F64" s="1760"/>
      <c r="G64" s="1760"/>
      <c r="H64" s="1761"/>
      <c r="I64" s="1762" t="s">
        <v>506</v>
      </c>
      <c r="J64" s="1762"/>
      <c r="K64" s="1762"/>
      <c r="L64" s="1762"/>
      <c r="M64" s="1762"/>
      <c r="N64" s="1758" t="s">
        <v>507</v>
      </c>
      <c r="O64" s="1758"/>
      <c r="P64" s="1758"/>
      <c r="Q64" s="1758"/>
      <c r="R64" s="1758"/>
      <c r="S64" s="1758" t="s">
        <v>1067</v>
      </c>
      <c r="T64" s="1758"/>
      <c r="U64" s="1758"/>
      <c r="V64" s="1758"/>
      <c r="W64" s="1758"/>
    </row>
    <row r="65" spans="1:27" x14ac:dyDescent="0.3">
      <c r="B65" s="1639"/>
      <c r="C65" s="1639"/>
      <c r="D65" s="1764" t="s">
        <v>7</v>
      </c>
      <c r="E65" s="1765"/>
      <c r="F65" s="1765"/>
      <c r="G65" s="1765"/>
      <c r="H65" s="1765"/>
      <c r="I65" s="1764" t="s">
        <v>7</v>
      </c>
      <c r="J65" s="1765"/>
      <c r="K65" s="1765"/>
      <c r="L65" s="1765"/>
      <c r="M65" s="1765"/>
      <c r="N65" s="1764" t="s">
        <v>12</v>
      </c>
      <c r="O65" s="1765"/>
      <c r="P65" s="1765"/>
      <c r="Q65" s="1765"/>
      <c r="R65" s="1765"/>
      <c r="S65" s="1762" t="s">
        <v>21</v>
      </c>
      <c r="T65" s="1763"/>
      <c r="U65" s="1763"/>
      <c r="V65" s="1763"/>
      <c r="W65" s="1763"/>
    </row>
    <row r="66" spans="1:27" ht="56" x14ac:dyDescent="0.3">
      <c r="A66" s="5" t="s">
        <v>811</v>
      </c>
      <c r="B66" s="1639"/>
      <c r="C66" s="1639"/>
      <c r="D66" s="363" t="s">
        <v>273</v>
      </c>
      <c r="E66" s="363" t="s">
        <v>268</v>
      </c>
      <c r="F66" s="259" t="s">
        <v>274</v>
      </c>
      <c r="G66" s="361" t="s">
        <v>586</v>
      </c>
      <c r="H66" s="363" t="s">
        <v>275</v>
      </c>
      <c r="I66" s="645" t="s">
        <v>273</v>
      </c>
      <c r="J66" s="645" t="s">
        <v>268</v>
      </c>
      <c r="K66" s="259" t="s">
        <v>274</v>
      </c>
      <c r="L66" s="640" t="s">
        <v>586</v>
      </c>
      <c r="M66" s="645" t="s">
        <v>275</v>
      </c>
      <c r="N66" s="363" t="s">
        <v>273</v>
      </c>
      <c r="O66" s="363" t="s">
        <v>268</v>
      </c>
      <c r="P66" s="259" t="s">
        <v>274</v>
      </c>
      <c r="Q66" s="361" t="s">
        <v>586</v>
      </c>
      <c r="R66" s="363" t="s">
        <v>275</v>
      </c>
      <c r="S66" s="363" t="s">
        <v>273</v>
      </c>
      <c r="T66" s="363" t="s">
        <v>268</v>
      </c>
      <c r="U66" s="259" t="s">
        <v>274</v>
      </c>
      <c r="V66" s="361" t="s">
        <v>586</v>
      </c>
      <c r="W66" s="363" t="s">
        <v>275</v>
      </c>
    </row>
    <row r="67" spans="1:27" ht="28" x14ac:dyDescent="0.3">
      <c r="B67" s="256"/>
      <c r="C67" s="256"/>
      <c r="D67" s="256" t="s">
        <v>82</v>
      </c>
      <c r="E67" s="256" t="s">
        <v>83</v>
      </c>
      <c r="F67" s="256" t="s">
        <v>459</v>
      </c>
      <c r="G67" s="256" t="s">
        <v>391</v>
      </c>
      <c r="H67" s="256" t="s">
        <v>587</v>
      </c>
      <c r="I67" s="256" t="s">
        <v>409</v>
      </c>
      <c r="J67" s="256" t="s">
        <v>508</v>
      </c>
      <c r="K67" s="256" t="s">
        <v>410</v>
      </c>
      <c r="L67" s="256" t="s">
        <v>411</v>
      </c>
      <c r="M67" s="256" t="s">
        <v>652</v>
      </c>
      <c r="N67" s="256" t="s">
        <v>588</v>
      </c>
      <c r="O67" s="256" t="s">
        <v>653</v>
      </c>
      <c r="P67" s="256" t="s">
        <v>589</v>
      </c>
      <c r="Q67" s="256" t="s">
        <v>590</v>
      </c>
      <c r="R67" s="256" t="s">
        <v>1152</v>
      </c>
      <c r="S67" s="256" t="s">
        <v>591</v>
      </c>
      <c r="T67" s="256" t="s">
        <v>592</v>
      </c>
      <c r="U67" s="256" t="s">
        <v>654</v>
      </c>
      <c r="V67" s="256" t="s">
        <v>593</v>
      </c>
      <c r="W67" s="256" t="s">
        <v>1153</v>
      </c>
      <c r="Y67" s="5" t="s">
        <v>1580</v>
      </c>
    </row>
    <row r="68" spans="1:27" x14ac:dyDescent="0.3">
      <c r="A68" s="441">
        <v>0</v>
      </c>
      <c r="B68" s="90">
        <v>1</v>
      </c>
      <c r="C68" s="432" t="s">
        <v>845</v>
      </c>
      <c r="D68" s="346">
        <v>0</v>
      </c>
      <c r="E68" s="637">
        <f t="shared" ref="E68:E84" si="22">IF((IFERROR(D68/((D14+E14)*90%),0))&lt;70%,MIN((MAX((D14+E14)*90%-D68,0)),(D14+E14/2)*$Y68),MAX((E14+D14)*90%-D68,0)/E$86)</f>
        <v>0</v>
      </c>
      <c r="F68" s="346">
        <f>IFERROR(IF(D68=0,0,D68/D14*F14),0)</f>
        <v>0</v>
      </c>
      <c r="G68" s="347"/>
      <c r="H68" s="346">
        <f>D68+E68-F68-G68</f>
        <v>0</v>
      </c>
      <c r="I68" s="343">
        <f>H68</f>
        <v>0</v>
      </c>
      <c r="J68" s="637">
        <f>IF((IFERROR(I68/((I14+J14)*90%),0))&lt;70%,MIN((MAX((I14+J14)*90%-I68,0)),(I14+J14/2)*$A68),MAX((J14+I14)*90%-I68,0)/J$86)</f>
        <v>0</v>
      </c>
      <c r="K68" s="346">
        <f>IFERROR(IF(I68=0,0,I68/I14*K14),0)</f>
        <v>0</v>
      </c>
      <c r="L68" s="347"/>
      <c r="M68" s="343">
        <f t="shared" ref="M68:M79" si="23">I68+J68-K68-L68</f>
        <v>0</v>
      </c>
      <c r="N68" s="346">
        <f>M68</f>
        <v>0</v>
      </c>
      <c r="O68" s="637">
        <f t="shared" ref="O68:O84" si="24">IF((IFERROR(N68/((N14+O14)*90%),0))&lt;70%,MIN((MAX((N14+O14)*90%-N68,0)),(N14+O14/2)*$A95),MAX((O14+N14)*90%-N68,0)/O$86)</f>
        <v>0</v>
      </c>
      <c r="P68" s="346">
        <f t="shared" ref="P68:P84" si="25">IFERROR(IF(N68=0,0,N68/N14*P14),0)</f>
        <v>0</v>
      </c>
      <c r="Q68" s="347"/>
      <c r="R68" s="346">
        <f t="shared" ref="R68:R84" si="26">N68+O68-P68-Q68</f>
        <v>0</v>
      </c>
      <c r="S68" s="343">
        <f t="shared" ref="S68:S84" si="27">R68</f>
        <v>0</v>
      </c>
      <c r="T68" s="637">
        <f>IF((IFERROR(S68/((S14+T14)*90%),0))&lt;70%,MIN((MAX((S14+T14)*90%-S68,0)),(S14+T14/2)*$A95),MAX((T14+S14)*90%-S68,0)/T$86)</f>
        <v>0</v>
      </c>
      <c r="U68" s="346">
        <f t="shared" ref="U68:U84" si="28">IFERROR(IF(S68=0,0,S68/S14*U14),0)</f>
        <v>0</v>
      </c>
      <c r="V68" s="347"/>
      <c r="W68" s="343">
        <f t="shared" ref="W68:W84" si="29">S68+T68-U68-V68</f>
        <v>0</v>
      </c>
      <c r="Y68" s="636">
        <v>0</v>
      </c>
      <c r="AA68" s="1054"/>
    </row>
    <row r="69" spans="1:27" x14ac:dyDescent="0.3">
      <c r="A69" s="441">
        <v>3.3399999999999999E-2</v>
      </c>
      <c r="B69" s="90">
        <f>B68+1</f>
        <v>2</v>
      </c>
      <c r="C69" s="432" t="s">
        <v>846</v>
      </c>
      <c r="D69" s="346">
        <v>16.593804864015169</v>
      </c>
      <c r="E69" s="637">
        <f t="shared" si="22"/>
        <v>3.242869076206626E-2</v>
      </c>
      <c r="F69" s="346">
        <f t="shared" ref="F69:F84" si="30">IFERROR(IF(D69=0,0,D69/D15*F15),0)</f>
        <v>0</v>
      </c>
      <c r="G69" s="347"/>
      <c r="H69" s="747">
        <f>D69+E69-F69-G69</f>
        <v>16.626233554777237</v>
      </c>
      <c r="I69" s="343">
        <f t="shared" ref="I69:I79" si="31">H69</f>
        <v>16.626233554777237</v>
      </c>
      <c r="J69" s="637">
        <f t="shared" ref="J69:J84" si="32">IF((IFERROR(I69/((I15+J15)*90%),0))&lt;70%,MIN((MAX((I15+J15)*90%-I69,0)),(I15+J15/2)*$A69),MAX((J15+I15)*90%-I69,0)/J$86)</f>
        <v>9.265340217733049E-3</v>
      </c>
      <c r="K69" s="346">
        <f t="shared" ref="K69:K84" si="33">IFERROR(IF(I69=0,0,I69/I15*K15),0)</f>
        <v>0</v>
      </c>
      <c r="L69" s="347"/>
      <c r="M69" s="343">
        <f t="shared" si="23"/>
        <v>16.635498894994971</v>
      </c>
      <c r="N69" s="346">
        <f t="shared" ref="N69:N84" si="34">M69</f>
        <v>16.635498894994971</v>
      </c>
      <c r="O69" s="637">
        <f>IF((IFERROR(N69/((N15+O15)*90%),0))&lt;70%,MIN((MAX((N15+O15)*90%-N69,0)),(N15+O15/2)*$A96),MAX((O15+N15)*90%-N69,0)/O$86)</f>
        <v>9.265340217732879E-3</v>
      </c>
      <c r="P69" s="346">
        <f t="shared" si="25"/>
        <v>0</v>
      </c>
      <c r="Q69" s="347"/>
      <c r="R69" s="346">
        <f t="shared" si="26"/>
        <v>16.644764235212705</v>
      </c>
      <c r="S69" s="343">
        <f t="shared" si="27"/>
        <v>16.644764235212705</v>
      </c>
      <c r="T69" s="637">
        <f>IF((IFERROR(S69/((S15+T15)*90%),0))&lt;70%,MIN((MAX((S15+T15)*90%-S69,0)),(S15+T15/2)*$A96),MAX((T15+S15)*90%-S69,0)/T$86)</f>
        <v>9.2653402177326431E-3</v>
      </c>
      <c r="U69" s="346">
        <f t="shared" si="28"/>
        <v>0</v>
      </c>
      <c r="V69" s="347"/>
      <c r="W69" s="343">
        <f t="shared" si="29"/>
        <v>16.654029575430439</v>
      </c>
      <c r="Y69" s="636">
        <v>3.3399999999999999E-2</v>
      </c>
      <c r="AA69" s="1054"/>
    </row>
    <row r="70" spans="1:27" x14ac:dyDescent="0.3">
      <c r="A70" s="441">
        <v>5.28E-2</v>
      </c>
      <c r="B70" s="90">
        <f t="shared" ref="B70:B84" si="35">B69+1</f>
        <v>3</v>
      </c>
      <c r="C70" s="432" t="s">
        <v>847</v>
      </c>
      <c r="D70" s="346">
        <v>0</v>
      </c>
      <c r="E70" s="637">
        <f t="shared" si="22"/>
        <v>0</v>
      </c>
      <c r="F70" s="346">
        <f t="shared" si="30"/>
        <v>0</v>
      </c>
      <c r="G70" s="347"/>
      <c r="H70" s="346">
        <f t="shared" ref="H70:H84" si="36">D70+E70-F70-G70</f>
        <v>0</v>
      </c>
      <c r="I70" s="343">
        <f t="shared" si="31"/>
        <v>0</v>
      </c>
      <c r="J70" s="637">
        <f t="shared" si="32"/>
        <v>0</v>
      </c>
      <c r="K70" s="346">
        <f t="shared" si="33"/>
        <v>0</v>
      </c>
      <c r="L70" s="347"/>
      <c r="M70" s="343">
        <f t="shared" si="23"/>
        <v>0</v>
      </c>
      <c r="N70" s="346">
        <f t="shared" si="34"/>
        <v>0</v>
      </c>
      <c r="O70" s="637">
        <f t="shared" si="24"/>
        <v>0</v>
      </c>
      <c r="P70" s="346">
        <f t="shared" si="25"/>
        <v>0</v>
      </c>
      <c r="Q70" s="347"/>
      <c r="R70" s="346">
        <f t="shared" si="26"/>
        <v>0</v>
      </c>
      <c r="S70" s="343">
        <f t="shared" si="27"/>
        <v>0</v>
      </c>
      <c r="T70" s="637">
        <f t="shared" ref="T70:T84" si="37">IF((IFERROR(S70/((S16+T16)*90%),0))&lt;70%,MIN((MAX((S16+T16)*90%-S70,0)),(S16+T16/2)*$A97),MAX((T16+S16)*90%-S70,0)/T$86)</f>
        <v>0</v>
      </c>
      <c r="U70" s="346">
        <f t="shared" si="28"/>
        <v>0</v>
      </c>
      <c r="V70" s="347"/>
      <c r="W70" s="343">
        <f t="shared" si="29"/>
        <v>0</v>
      </c>
      <c r="Y70" s="636">
        <v>5.28E-2</v>
      </c>
      <c r="AA70" s="1054"/>
    </row>
    <row r="71" spans="1:27" x14ac:dyDescent="0.3">
      <c r="A71" s="441">
        <v>5.28E-2</v>
      </c>
      <c r="B71" s="90">
        <f t="shared" si="35"/>
        <v>4</v>
      </c>
      <c r="C71" s="432" t="s">
        <v>848</v>
      </c>
      <c r="D71" s="346">
        <v>59.665912315387345</v>
      </c>
      <c r="E71" s="637">
        <f t="shared" si="22"/>
        <v>0.53915846153755587</v>
      </c>
      <c r="F71" s="346">
        <f t="shared" si="30"/>
        <v>0</v>
      </c>
      <c r="G71" s="347"/>
      <c r="H71" s="346">
        <f t="shared" si="36"/>
        <v>60.205070776924899</v>
      </c>
      <c r="I71" s="343">
        <f t="shared" si="31"/>
        <v>60.205070776924899</v>
      </c>
      <c r="J71" s="637">
        <f t="shared" si="32"/>
        <v>0.15404527472501631</v>
      </c>
      <c r="K71" s="346">
        <f t="shared" si="33"/>
        <v>0</v>
      </c>
      <c r="L71" s="347"/>
      <c r="M71" s="343">
        <f t="shared" si="23"/>
        <v>60.359116051649913</v>
      </c>
      <c r="N71" s="346">
        <f t="shared" si="34"/>
        <v>60.359116051649913</v>
      </c>
      <c r="O71" s="637">
        <f t="shared" si="24"/>
        <v>0.15404527472501664</v>
      </c>
      <c r="P71" s="346">
        <f t="shared" si="25"/>
        <v>0</v>
      </c>
      <c r="Q71" s="347"/>
      <c r="R71" s="346">
        <f t="shared" si="26"/>
        <v>60.513161326374927</v>
      </c>
      <c r="S71" s="343">
        <f t="shared" si="27"/>
        <v>60.513161326374927</v>
      </c>
      <c r="T71" s="637">
        <f t="shared" si="37"/>
        <v>0.15404527472501711</v>
      </c>
      <c r="U71" s="346">
        <f t="shared" si="28"/>
        <v>0</v>
      </c>
      <c r="V71" s="347"/>
      <c r="W71" s="343">
        <f t="shared" si="29"/>
        <v>60.667206601099942</v>
      </c>
      <c r="Y71" s="636">
        <v>5.28E-2</v>
      </c>
      <c r="AA71" s="1054"/>
    </row>
    <row r="72" spans="1:27" x14ac:dyDescent="0.3">
      <c r="A72" s="441">
        <v>3.3399999999999999E-2</v>
      </c>
      <c r="B72" s="90">
        <f t="shared" si="35"/>
        <v>5</v>
      </c>
      <c r="C72" s="432" t="s">
        <v>849</v>
      </c>
      <c r="D72" s="346">
        <v>51.594960559776432</v>
      </c>
      <c r="E72" s="637">
        <f t="shared" si="22"/>
        <v>2.8239063396000001</v>
      </c>
      <c r="F72" s="346">
        <f t="shared" si="30"/>
        <v>0</v>
      </c>
      <c r="G72" s="347"/>
      <c r="H72" s="346">
        <f t="shared" si="36"/>
        <v>54.418866899376432</v>
      </c>
      <c r="I72" s="343">
        <f t="shared" si="31"/>
        <v>54.418866899376432</v>
      </c>
      <c r="J72" s="637">
        <f t="shared" si="32"/>
        <v>3.0963453858033674</v>
      </c>
      <c r="K72" s="346">
        <f t="shared" si="33"/>
        <v>0</v>
      </c>
      <c r="L72" s="347"/>
      <c r="M72" s="343">
        <f t="shared" si="23"/>
        <v>57.5152122851798</v>
      </c>
      <c r="N72" s="346">
        <f t="shared" si="34"/>
        <v>57.5152122851798</v>
      </c>
      <c r="O72" s="637">
        <f t="shared" si="24"/>
        <v>3.0963453858033674</v>
      </c>
      <c r="P72" s="346">
        <f t="shared" si="25"/>
        <v>0</v>
      </c>
      <c r="Q72" s="347"/>
      <c r="R72" s="346">
        <f t="shared" si="26"/>
        <v>60.611557670983167</v>
      </c>
      <c r="S72" s="343">
        <f t="shared" si="27"/>
        <v>60.611557670983167</v>
      </c>
      <c r="T72" s="637">
        <f>IF((IFERROR(S72/((S18+T18)*90%),0))&lt;70%,MIN((MAX((S18+T18)*90%-S72,0)),(S18+T18/2)*$A99),MAX((T18+S18)*90%-S72,0)/T$86)</f>
        <v>3.0963453858033674</v>
      </c>
      <c r="U72" s="346">
        <f t="shared" si="28"/>
        <v>0</v>
      </c>
      <c r="V72" s="347"/>
      <c r="W72" s="343">
        <f t="shared" si="29"/>
        <v>63.707903056786535</v>
      </c>
      <c r="Y72" s="636">
        <v>3.3399999999999999E-2</v>
      </c>
      <c r="AA72" s="1054"/>
    </row>
    <row r="73" spans="1:27" x14ac:dyDescent="0.3">
      <c r="A73" s="441">
        <v>5.28E-2</v>
      </c>
      <c r="B73" s="90">
        <f t="shared" si="35"/>
        <v>6</v>
      </c>
      <c r="C73" s="432" t="s">
        <v>256</v>
      </c>
      <c r="D73" s="346">
        <v>240.76137771220448</v>
      </c>
      <c r="E73" s="637">
        <f t="shared" si="22"/>
        <v>5.0847731768204953</v>
      </c>
      <c r="F73" s="346">
        <f>IFERROR(IF(D73=0,0,D73/D19*F19),0)</f>
        <v>0</v>
      </c>
      <c r="G73" s="347"/>
      <c r="H73" s="346">
        <f t="shared" si="36"/>
        <v>245.84615088902498</v>
      </c>
      <c r="I73" s="343">
        <f t="shared" si="31"/>
        <v>245.84615088902498</v>
      </c>
      <c r="J73" s="637">
        <f t="shared" si="32"/>
        <v>1.4527923362344259</v>
      </c>
      <c r="K73" s="346">
        <f t="shared" si="33"/>
        <v>0</v>
      </c>
      <c r="L73" s="347"/>
      <c r="M73" s="343">
        <f t="shared" si="23"/>
        <v>247.29894322525942</v>
      </c>
      <c r="N73" s="346">
        <f t="shared" si="34"/>
        <v>247.29894322525942</v>
      </c>
      <c r="O73" s="637">
        <f t="shared" si="24"/>
        <v>2.2837923362344319</v>
      </c>
      <c r="P73" s="346">
        <f t="shared" si="25"/>
        <v>0</v>
      </c>
      <c r="Q73" s="347"/>
      <c r="R73" s="346">
        <f t="shared" si="26"/>
        <v>249.58273556149385</v>
      </c>
      <c r="S73" s="343">
        <f t="shared" si="27"/>
        <v>249.58273556149385</v>
      </c>
      <c r="T73" s="637">
        <f t="shared" si="37"/>
        <v>2.2837923362344328</v>
      </c>
      <c r="U73" s="346">
        <f t="shared" si="28"/>
        <v>0</v>
      </c>
      <c r="V73" s="347"/>
      <c r="W73" s="343">
        <f t="shared" si="29"/>
        <v>251.86652789772828</v>
      </c>
      <c r="Y73" s="636">
        <v>5.28E-2</v>
      </c>
      <c r="AA73" s="1054"/>
    </row>
    <row r="74" spans="1:27" x14ac:dyDescent="0.3">
      <c r="A74" s="441">
        <v>0.18</v>
      </c>
      <c r="B74" s="90">
        <f t="shared" si="35"/>
        <v>7</v>
      </c>
      <c r="C74" s="432" t="s">
        <v>850</v>
      </c>
      <c r="D74" s="346">
        <v>0.5782085407344848</v>
      </c>
      <c r="E74" s="637">
        <f t="shared" si="22"/>
        <v>0.45022007324979152</v>
      </c>
      <c r="F74" s="346">
        <f t="shared" si="30"/>
        <v>0</v>
      </c>
      <c r="G74" s="347"/>
      <c r="H74" s="346">
        <f t="shared" si="36"/>
        <v>1.0284286139842762</v>
      </c>
      <c r="I74" s="343">
        <f t="shared" si="31"/>
        <v>1.0284286139842762</v>
      </c>
      <c r="J74" s="637">
        <f t="shared" si="32"/>
        <v>0.45022007324979152</v>
      </c>
      <c r="K74" s="346">
        <f t="shared" si="33"/>
        <v>0</v>
      </c>
      <c r="L74" s="347"/>
      <c r="M74" s="343">
        <f t="shared" si="23"/>
        <v>1.4786486872340676</v>
      </c>
      <c r="N74" s="346">
        <f t="shared" si="34"/>
        <v>1.4786486872340676</v>
      </c>
      <c r="O74" s="637">
        <f t="shared" si="24"/>
        <v>0.45022007324979152</v>
      </c>
      <c r="P74" s="346">
        <f t="shared" si="25"/>
        <v>0</v>
      </c>
      <c r="Q74" s="347"/>
      <c r="R74" s="346">
        <f t="shared" si="26"/>
        <v>1.928868760483859</v>
      </c>
      <c r="S74" s="343">
        <f t="shared" si="27"/>
        <v>1.928868760483859</v>
      </c>
      <c r="T74" s="637">
        <f t="shared" si="37"/>
        <v>6.4446321153019695E-2</v>
      </c>
      <c r="U74" s="346">
        <f t="shared" si="28"/>
        <v>0</v>
      </c>
      <c r="V74" s="347"/>
      <c r="W74" s="343">
        <f t="shared" si="29"/>
        <v>1.9933150816368788</v>
      </c>
      <c r="Y74" s="636">
        <v>0.18</v>
      </c>
      <c r="AA74" s="1054"/>
    </row>
    <row r="75" spans="1:27" x14ac:dyDescent="0.3">
      <c r="A75" s="441">
        <v>5.28E-2</v>
      </c>
      <c r="B75" s="90">
        <f t="shared" si="35"/>
        <v>8</v>
      </c>
      <c r="C75" s="432" t="s">
        <v>851</v>
      </c>
      <c r="D75" s="346">
        <v>4.8654768887134506E-3</v>
      </c>
      <c r="E75" s="637">
        <f t="shared" si="22"/>
        <v>3.2436512591423002E-3</v>
      </c>
      <c r="F75" s="346">
        <f t="shared" si="30"/>
        <v>0</v>
      </c>
      <c r="G75" s="347"/>
      <c r="H75" s="346">
        <f t="shared" si="36"/>
        <v>8.1091281478557504E-3</v>
      </c>
      <c r="I75" s="343">
        <f t="shared" si="31"/>
        <v>8.1091281478557504E-3</v>
      </c>
      <c r="J75" s="637">
        <f t="shared" si="32"/>
        <v>3.2436512591423002E-3</v>
      </c>
      <c r="K75" s="346">
        <f t="shared" si="33"/>
        <v>0</v>
      </c>
      <c r="L75" s="347"/>
      <c r="M75" s="343">
        <f t="shared" si="23"/>
        <v>1.135277940699805E-2</v>
      </c>
      <c r="N75" s="346">
        <f t="shared" si="34"/>
        <v>1.135277940699805E-2</v>
      </c>
      <c r="O75" s="637">
        <f t="shared" si="24"/>
        <v>3.2436512591423002E-3</v>
      </c>
      <c r="P75" s="346">
        <f t="shared" si="25"/>
        <v>0</v>
      </c>
      <c r="Q75" s="347"/>
      <c r="R75" s="346">
        <f t="shared" si="26"/>
        <v>1.459643066614035E-2</v>
      </c>
      <c r="S75" s="343">
        <f t="shared" si="27"/>
        <v>1.459643066614035E-2</v>
      </c>
      <c r="T75" s="637">
        <f t="shared" si="37"/>
        <v>3.2436512591423002E-3</v>
      </c>
      <c r="U75" s="346">
        <f t="shared" si="28"/>
        <v>0</v>
      </c>
      <c r="V75" s="347"/>
      <c r="W75" s="343">
        <f t="shared" si="29"/>
        <v>1.784008192528265E-2</v>
      </c>
      <c r="Y75" s="636">
        <v>5.28E-2</v>
      </c>
      <c r="AA75" s="1054"/>
    </row>
    <row r="76" spans="1:27" x14ac:dyDescent="0.3">
      <c r="A76" s="441">
        <v>5.28E-2</v>
      </c>
      <c r="B76" s="90">
        <f t="shared" si="35"/>
        <v>9</v>
      </c>
      <c r="C76" s="432" t="s">
        <v>852</v>
      </c>
      <c r="D76" s="346">
        <v>0.3910440176002814</v>
      </c>
      <c r="E76" s="637">
        <f t="shared" si="22"/>
        <v>0</v>
      </c>
      <c r="F76" s="346">
        <f t="shared" si="30"/>
        <v>0</v>
      </c>
      <c r="G76" s="347"/>
      <c r="H76" s="346">
        <f t="shared" si="36"/>
        <v>0.3910440176002814</v>
      </c>
      <c r="I76" s="343">
        <f t="shared" si="31"/>
        <v>0.3910440176002814</v>
      </c>
      <c r="J76" s="637">
        <f t="shared" si="32"/>
        <v>0</v>
      </c>
      <c r="K76" s="346">
        <f t="shared" si="33"/>
        <v>0</v>
      </c>
      <c r="L76" s="347"/>
      <c r="M76" s="343">
        <f t="shared" si="23"/>
        <v>0.3910440176002814</v>
      </c>
      <c r="N76" s="346">
        <f t="shared" si="34"/>
        <v>0.3910440176002814</v>
      </c>
      <c r="O76" s="637">
        <f t="shared" si="24"/>
        <v>0</v>
      </c>
      <c r="P76" s="346">
        <f t="shared" si="25"/>
        <v>0</v>
      </c>
      <c r="Q76" s="347"/>
      <c r="R76" s="346">
        <f t="shared" si="26"/>
        <v>0.3910440176002814</v>
      </c>
      <c r="S76" s="343">
        <f t="shared" si="27"/>
        <v>0.3910440176002814</v>
      </c>
      <c r="T76" s="637">
        <f t="shared" si="37"/>
        <v>0</v>
      </c>
      <c r="U76" s="346">
        <f t="shared" si="28"/>
        <v>0</v>
      </c>
      <c r="V76" s="347"/>
      <c r="W76" s="343">
        <f t="shared" si="29"/>
        <v>0.3910440176002814</v>
      </c>
      <c r="Y76" s="636">
        <v>5.28E-2</v>
      </c>
      <c r="AA76" s="1054"/>
    </row>
    <row r="77" spans="1:27" x14ac:dyDescent="0.3">
      <c r="A77" s="441">
        <v>9.5000000000000001E-2</v>
      </c>
      <c r="B77" s="90">
        <f t="shared" si="35"/>
        <v>10</v>
      </c>
      <c r="C77" s="432" t="s">
        <v>259</v>
      </c>
      <c r="D77" s="346">
        <v>1.3056993899999998</v>
      </c>
      <c r="E77" s="637">
        <f t="shared" si="22"/>
        <v>0</v>
      </c>
      <c r="F77" s="346">
        <f t="shared" si="30"/>
        <v>0</v>
      </c>
      <c r="G77" s="347"/>
      <c r="H77" s="346">
        <f t="shared" si="36"/>
        <v>1.3056993899999998</v>
      </c>
      <c r="I77" s="343">
        <f t="shared" si="31"/>
        <v>1.3056993899999998</v>
      </c>
      <c r="J77" s="637">
        <f t="shared" si="32"/>
        <v>0</v>
      </c>
      <c r="K77" s="346">
        <f t="shared" si="33"/>
        <v>0</v>
      </c>
      <c r="L77" s="347"/>
      <c r="M77" s="343">
        <f t="shared" si="23"/>
        <v>1.3056993899999998</v>
      </c>
      <c r="N77" s="346">
        <f t="shared" si="34"/>
        <v>1.3056993899999998</v>
      </c>
      <c r="O77" s="637">
        <f>IF((IFERROR(N77/((N23+O23)*90%),0))&lt;70%,MIN((MAX((N23+O23)*90%-N77,0)),(N23+O23/2)*$A104),MAX((O23+N23)*90%-N77,0)/O$86)</f>
        <v>0</v>
      </c>
      <c r="P77" s="346">
        <f t="shared" ref="P77:P80" si="38">IFERROR(IF(N77=0,0,N77/N23*P23),0)</f>
        <v>0</v>
      </c>
      <c r="Q77" s="347"/>
      <c r="R77" s="346">
        <f t="shared" si="26"/>
        <v>1.3056993899999998</v>
      </c>
      <c r="S77" s="343">
        <f t="shared" si="27"/>
        <v>1.3056993899999998</v>
      </c>
      <c r="T77" s="637">
        <f t="shared" si="37"/>
        <v>0</v>
      </c>
      <c r="U77" s="346">
        <f t="shared" si="28"/>
        <v>0</v>
      </c>
      <c r="V77" s="347"/>
      <c r="W77" s="343">
        <f t="shared" si="29"/>
        <v>1.3056993899999998</v>
      </c>
      <c r="Y77" s="636">
        <v>9.5000000000000001E-2</v>
      </c>
      <c r="AA77" s="1054"/>
    </row>
    <row r="78" spans="1:27" x14ac:dyDescent="0.3">
      <c r="A78" s="441">
        <v>6.3299999999999995E-2</v>
      </c>
      <c r="B78" s="90">
        <f t="shared" si="35"/>
        <v>11</v>
      </c>
      <c r="C78" s="432" t="s">
        <v>260</v>
      </c>
      <c r="D78" s="346">
        <v>0.6107223023055095</v>
      </c>
      <c r="E78" s="637">
        <f t="shared" si="22"/>
        <v>3.768650503427081E-3</v>
      </c>
      <c r="F78" s="346">
        <f t="shared" si="30"/>
        <v>0</v>
      </c>
      <c r="G78" s="347"/>
      <c r="H78" s="346">
        <f t="shared" si="36"/>
        <v>0.61449095280893662</v>
      </c>
      <c r="I78" s="343">
        <f t="shared" si="31"/>
        <v>0.61449095280893662</v>
      </c>
      <c r="J78" s="637">
        <f t="shared" si="32"/>
        <v>2.7716427629550573E-2</v>
      </c>
      <c r="K78" s="346">
        <f t="shared" si="33"/>
        <v>0</v>
      </c>
      <c r="L78" s="347"/>
      <c r="M78" s="343">
        <f t="shared" si="23"/>
        <v>0.64220738043848724</v>
      </c>
      <c r="N78" s="346">
        <f t="shared" si="34"/>
        <v>0.64220738043848724</v>
      </c>
      <c r="O78" s="637">
        <f>IF((IFERROR(N78/((N24+O24)*90%),0))&lt;70%,MIN((MAX((N24+O24)*90%-N78,0)),(N24+O24/2)*$A105),MAX((O24+N24)*90%-N78,0)/O$86)</f>
        <v>4.0519347629550562E-2</v>
      </c>
      <c r="P78" s="346">
        <f t="shared" si="38"/>
        <v>0</v>
      </c>
      <c r="Q78" s="347"/>
      <c r="R78" s="346">
        <f t="shared" si="26"/>
        <v>0.6827267280680378</v>
      </c>
      <c r="S78" s="343">
        <f t="shared" si="27"/>
        <v>0.6827267280680378</v>
      </c>
      <c r="T78" s="637">
        <f t="shared" si="37"/>
        <v>4.0519347629550562E-2</v>
      </c>
      <c r="U78" s="346">
        <f t="shared" si="28"/>
        <v>0</v>
      </c>
      <c r="V78" s="347"/>
      <c r="W78" s="343">
        <f t="shared" si="29"/>
        <v>0.72324607569758836</v>
      </c>
      <c r="Y78" s="636">
        <v>6.3299999999999995E-2</v>
      </c>
      <c r="AA78" s="1054"/>
    </row>
    <row r="79" spans="1:27" x14ac:dyDescent="0.3">
      <c r="A79" s="441">
        <v>6.3299999999999995E-2</v>
      </c>
      <c r="B79" s="90">
        <f t="shared" si="35"/>
        <v>12</v>
      </c>
      <c r="C79" s="432" t="s">
        <v>261</v>
      </c>
      <c r="D79" s="346">
        <v>1.3388843668098123</v>
      </c>
      <c r="E79" s="637">
        <f t="shared" si="22"/>
        <v>0.13911228711053494</v>
      </c>
      <c r="F79" s="346">
        <f t="shared" si="30"/>
        <v>0</v>
      </c>
      <c r="G79" s="348"/>
      <c r="H79" s="346">
        <f t="shared" si="36"/>
        <v>1.4779966539203473</v>
      </c>
      <c r="I79" s="343">
        <f t="shared" si="31"/>
        <v>1.4779966539203473</v>
      </c>
      <c r="J79" s="637">
        <f t="shared" si="32"/>
        <v>7.1414737545302351E-2</v>
      </c>
      <c r="K79" s="346">
        <f t="shared" si="33"/>
        <v>0</v>
      </c>
      <c r="L79" s="347"/>
      <c r="M79" s="343">
        <f t="shared" si="23"/>
        <v>1.5494113914656495</v>
      </c>
      <c r="N79" s="346">
        <f t="shared" si="34"/>
        <v>1.5494113914656495</v>
      </c>
      <c r="O79" s="637">
        <f>IF((IFERROR(N79/((N25+O25)*90%),0))&lt;70%,MIN((MAX((N25+O25)*90%-N79,0)),(N25+O25/2)*$A106),MAX((O25+N25)*90%-N79,0)/O$86)</f>
        <v>7.1414737545302365E-2</v>
      </c>
      <c r="P79" s="346">
        <f t="shared" si="38"/>
        <v>0</v>
      </c>
      <c r="Q79" s="347"/>
      <c r="R79" s="346">
        <f t="shared" si="26"/>
        <v>1.6208261290109518</v>
      </c>
      <c r="S79" s="343">
        <f t="shared" si="27"/>
        <v>1.6208261290109518</v>
      </c>
      <c r="T79" s="637">
        <f t="shared" si="37"/>
        <v>7.1414737545302392E-2</v>
      </c>
      <c r="U79" s="346">
        <f t="shared" si="28"/>
        <v>0</v>
      </c>
      <c r="V79" s="347"/>
      <c r="W79" s="343">
        <f t="shared" si="29"/>
        <v>1.6922408665562543</v>
      </c>
      <c r="Y79" s="636">
        <v>6.3299999999999995E-2</v>
      </c>
      <c r="AA79" s="1054"/>
    </row>
    <row r="80" spans="1:27" x14ac:dyDescent="0.3">
      <c r="A80" s="441">
        <v>6.3299999999999995E-2</v>
      </c>
      <c r="B80" s="90">
        <f t="shared" si="35"/>
        <v>13</v>
      </c>
      <c r="C80" s="450" t="s">
        <v>899</v>
      </c>
      <c r="D80" s="346">
        <v>0</v>
      </c>
      <c r="E80" s="637">
        <f t="shared" si="22"/>
        <v>0</v>
      </c>
      <c r="F80" s="346">
        <f t="shared" si="30"/>
        <v>0</v>
      </c>
      <c r="G80" s="348"/>
      <c r="H80" s="346">
        <f t="shared" si="36"/>
        <v>0</v>
      </c>
      <c r="I80" s="343">
        <f t="shared" ref="I80:I84" si="39">H80</f>
        <v>0</v>
      </c>
      <c r="J80" s="637">
        <f t="shared" si="32"/>
        <v>0</v>
      </c>
      <c r="K80" s="346">
        <f t="shared" si="33"/>
        <v>0</v>
      </c>
      <c r="L80" s="347"/>
      <c r="M80" s="343">
        <f t="shared" ref="M80:M84" si="40">I80+J80-K80-L80</f>
        <v>0</v>
      </c>
      <c r="N80" s="346">
        <f>M80</f>
        <v>0</v>
      </c>
      <c r="O80" s="637">
        <f>IF((IFERROR(N80/((N26+O26)*90%),0))&lt;70%,MIN((MAX((N26+O26)*90%-N80,0)),(N26+O26/2)*$A107),MAX((O26+N26)*90%-N80,0)/O$86)</f>
        <v>0</v>
      </c>
      <c r="P80" s="346">
        <f t="shared" si="38"/>
        <v>0</v>
      </c>
      <c r="Q80" s="347"/>
      <c r="R80" s="346">
        <f t="shared" si="26"/>
        <v>0</v>
      </c>
      <c r="S80" s="343">
        <f t="shared" si="27"/>
        <v>0</v>
      </c>
      <c r="T80" s="637">
        <f t="shared" si="37"/>
        <v>0</v>
      </c>
      <c r="U80" s="346">
        <f t="shared" si="28"/>
        <v>0</v>
      </c>
      <c r="V80" s="347"/>
      <c r="W80" s="343">
        <f t="shared" si="29"/>
        <v>0</v>
      </c>
      <c r="Y80" s="636">
        <v>6.3299999999999995E-2</v>
      </c>
      <c r="AA80" s="1054"/>
    </row>
    <row r="81" spans="1:33" x14ac:dyDescent="0.3">
      <c r="A81" s="441">
        <v>0.15</v>
      </c>
      <c r="B81" s="90">
        <f t="shared" si="35"/>
        <v>14</v>
      </c>
      <c r="C81" s="450" t="s">
        <v>900</v>
      </c>
      <c r="D81" s="346">
        <v>0</v>
      </c>
      <c r="E81" s="637">
        <f>IF((IFERROR(D81/((D27+E27)*100%),0))&lt;70%,MIN((MAX((D27+E27)*100%-D81,0)),(D27+E27/2)*$Y81),MAX((E27+D27)*100%-D81,0)/E$86)</f>
        <v>1.9414726050000001E-2</v>
      </c>
      <c r="F81" s="346">
        <f t="shared" si="30"/>
        <v>0</v>
      </c>
      <c r="G81" s="348"/>
      <c r="H81" s="346">
        <f t="shared" si="36"/>
        <v>1.9414726050000001E-2</v>
      </c>
      <c r="I81" s="343">
        <f t="shared" si="39"/>
        <v>1.9414726050000001E-2</v>
      </c>
      <c r="J81" s="637">
        <f>IF((IFERROR(I81/((I27+J27)*100%),0))&lt;70%,MIN((MAX((I27+J27)*100%-I81,0)),(I27+J27/2)*$A81),MAX((J27+I27)*100%-I81,0)/J$86)</f>
        <v>-2.7123954000000017E-3</v>
      </c>
      <c r="K81" s="346">
        <f t="shared" si="33"/>
        <v>0</v>
      </c>
      <c r="L81" s="347"/>
      <c r="M81" s="343">
        <f t="shared" si="40"/>
        <v>1.670233065E-2</v>
      </c>
      <c r="N81" s="346">
        <f t="shared" si="34"/>
        <v>1.670233065E-2</v>
      </c>
      <c r="O81" s="637">
        <f>IF((IFERROR(N81/((N27+O27)*100%),0))&lt;70%,MIN((MAX((N27+O27)*100%-N81,0)),(N27+O27/2)*$A108),MAX((O27+N27)*100%-N81,0)/O$86)</f>
        <v>-2.2331679000000019E-3</v>
      </c>
      <c r="P81" s="346">
        <f t="shared" si="25"/>
        <v>0</v>
      </c>
      <c r="Q81" s="347"/>
      <c r="R81" s="346">
        <f t="shared" si="26"/>
        <v>1.4469162749999997E-2</v>
      </c>
      <c r="S81" s="343">
        <f t="shared" si="27"/>
        <v>1.4469162749999997E-2</v>
      </c>
      <c r="T81" s="637">
        <f>IF((IFERROR(S81/((S27+T27)*100%),0))&lt;70%,MIN((MAX((S27+T27)*100%-S81,0)),(S27+T27/2)*$A108),MAX((T27+S27)*100%-S81,0)/T$86)</f>
        <v>-2.2331679000000019E-3</v>
      </c>
      <c r="U81" s="346">
        <f t="shared" si="28"/>
        <v>0</v>
      </c>
      <c r="V81" s="347"/>
      <c r="W81" s="343">
        <f t="shared" si="29"/>
        <v>1.2235994849999994E-2</v>
      </c>
      <c r="Y81" s="636">
        <v>0.15</v>
      </c>
      <c r="AA81" s="1054"/>
    </row>
    <row r="82" spans="1:33" x14ac:dyDescent="0.3">
      <c r="A82" s="441">
        <v>0.3</v>
      </c>
      <c r="B82" s="90">
        <f t="shared" si="35"/>
        <v>15</v>
      </c>
      <c r="C82" s="450" t="s">
        <v>901</v>
      </c>
      <c r="D82" s="346">
        <v>0</v>
      </c>
      <c r="E82" s="637">
        <f>IF((IFERROR(D82/((D28+E28)*100%),0))&lt;70%,MIN((MAX((D28+E28)*100%-D82,0)),(D28+E28/2)*$Y82),MAX((E28+D28)*100%-D82,0)/E$86)</f>
        <v>0</v>
      </c>
      <c r="F82" s="346">
        <f t="shared" si="30"/>
        <v>0</v>
      </c>
      <c r="G82" s="348"/>
      <c r="H82" s="346">
        <f t="shared" si="36"/>
        <v>0</v>
      </c>
      <c r="I82" s="343">
        <f t="shared" si="39"/>
        <v>0</v>
      </c>
      <c r="J82" s="637">
        <f>IF((IFERROR(I82/((I28+J28)*100%),0))&lt;70%,MIN((MAX((I28+J28)*100%-I82,0)),(I28+J28/2)*$A82),MAX((J28+I28)*100%-I82,0)/J$86)</f>
        <v>0</v>
      </c>
      <c r="K82" s="346">
        <f t="shared" si="33"/>
        <v>0</v>
      </c>
      <c r="L82" s="347"/>
      <c r="M82" s="343">
        <f t="shared" si="40"/>
        <v>0</v>
      </c>
      <c r="N82" s="346">
        <f t="shared" si="34"/>
        <v>0</v>
      </c>
      <c r="O82" s="637">
        <f>IF((IFERROR(N82/((N28+O28)*100%),0))&lt;70%,MIN((MAX((N28+O28)*100%-N82,0)),(N28+O28/2)*$A109),MAX((O28+N28)*100%-N82,0)/O$86)</f>
        <v>0</v>
      </c>
      <c r="P82" s="346">
        <f t="shared" si="25"/>
        <v>0</v>
      </c>
      <c r="Q82" s="347"/>
      <c r="R82" s="346">
        <f t="shared" si="26"/>
        <v>0</v>
      </c>
      <c r="S82" s="343">
        <f t="shared" si="27"/>
        <v>0</v>
      </c>
      <c r="T82" s="637">
        <f>IF((IFERROR(S82/((S28+T28)*100%),0))&lt;70%,MIN((MAX((S28+T28)*100%-S82,0)),(S28+T28/2)*$A109),MAX((T28+S28)*100%-S82,0)/T$86)</f>
        <v>0</v>
      </c>
      <c r="U82" s="346">
        <f t="shared" si="28"/>
        <v>0</v>
      </c>
      <c r="V82" s="347"/>
      <c r="W82" s="343">
        <f t="shared" si="29"/>
        <v>0</v>
      </c>
      <c r="Y82" s="636">
        <v>0.3</v>
      </c>
      <c r="AA82" s="1054"/>
    </row>
    <row r="83" spans="1:33" x14ac:dyDescent="0.3">
      <c r="A83" s="441">
        <v>0.3</v>
      </c>
      <c r="B83" s="90">
        <f t="shared" si="35"/>
        <v>16</v>
      </c>
      <c r="C83" s="450" t="s">
        <v>853</v>
      </c>
      <c r="D83" s="451">
        <v>0</v>
      </c>
      <c r="E83" s="637">
        <f>IF((IFERROR(D83/((D29+E29)*100%),0))&lt;70%,MIN((MAX((D29+E29)*100%-D83,0)),(D29+E29/2)*$Y83),MAX((E29+D29)*100%-D83,0)/E$86)</f>
        <v>0</v>
      </c>
      <c r="F83" s="346">
        <f t="shared" si="30"/>
        <v>0</v>
      </c>
      <c r="G83" s="347"/>
      <c r="H83" s="346">
        <f t="shared" si="36"/>
        <v>0</v>
      </c>
      <c r="I83" s="343">
        <f t="shared" si="39"/>
        <v>0</v>
      </c>
      <c r="J83" s="637">
        <f>IF((IFERROR(I83/((I29+J29)*100%),0))&lt;70%,MIN((MAX((I29+J29)*100%-I83,0)),(I29+J29/2)*$A83),MAX((J29+I29)*100%-I83,0)/J$86)</f>
        <v>0</v>
      </c>
      <c r="K83" s="346">
        <f t="shared" si="33"/>
        <v>0</v>
      </c>
      <c r="L83" s="347"/>
      <c r="M83" s="343">
        <f t="shared" si="40"/>
        <v>0</v>
      </c>
      <c r="N83" s="346">
        <f t="shared" si="34"/>
        <v>0</v>
      </c>
      <c r="O83" s="637">
        <f>IF((IFERROR(N83/((N29+O29)*100%),0))&lt;70%,MIN((MAX((N29+O29)*100%-N83,0)),(N29+O29/2)*$A110),MAX((O29+N29)*100%-N83,0)/O$86)</f>
        <v>0</v>
      </c>
      <c r="P83" s="346">
        <f t="shared" si="25"/>
        <v>0</v>
      </c>
      <c r="Q83" s="347"/>
      <c r="R83" s="346">
        <f t="shared" si="26"/>
        <v>0</v>
      </c>
      <c r="S83" s="343">
        <f t="shared" si="27"/>
        <v>0</v>
      </c>
      <c r="T83" s="637">
        <f>IF((IFERROR(S83/((S29+T29)*100%),0))&lt;70%,MIN((MAX((S29+T29)*100%-S83,0)),(S29+T29/2)*$A110),MAX((T29+S29)*100%-S83,0)/T$86)</f>
        <v>0</v>
      </c>
      <c r="U83" s="346">
        <f t="shared" si="28"/>
        <v>0</v>
      </c>
      <c r="V83" s="347"/>
      <c r="W83" s="343">
        <f t="shared" si="29"/>
        <v>0</v>
      </c>
      <c r="Y83" s="636">
        <v>0.3</v>
      </c>
      <c r="AA83" s="1054"/>
    </row>
    <row r="84" spans="1:33" x14ac:dyDescent="0.3">
      <c r="A84" s="441">
        <v>3.3399999999999999E-2</v>
      </c>
      <c r="B84" s="90">
        <f t="shared" si="35"/>
        <v>17</v>
      </c>
      <c r="C84" s="450" t="s">
        <v>902</v>
      </c>
      <c r="D84" s="346">
        <v>0</v>
      </c>
      <c r="E84" s="637">
        <f t="shared" si="22"/>
        <v>0</v>
      </c>
      <c r="F84" s="346">
        <f t="shared" si="30"/>
        <v>0</v>
      </c>
      <c r="G84" s="347"/>
      <c r="H84" s="346">
        <f t="shared" si="36"/>
        <v>0</v>
      </c>
      <c r="I84" s="343">
        <f t="shared" si="39"/>
        <v>0</v>
      </c>
      <c r="J84" s="637">
        <f t="shared" si="32"/>
        <v>0</v>
      </c>
      <c r="K84" s="346">
        <f t="shared" si="33"/>
        <v>0</v>
      </c>
      <c r="L84" s="347"/>
      <c r="M84" s="343">
        <f t="shared" si="40"/>
        <v>0</v>
      </c>
      <c r="N84" s="346">
        <f t="shared" si="34"/>
        <v>0</v>
      </c>
      <c r="O84" s="637">
        <f t="shared" si="24"/>
        <v>0</v>
      </c>
      <c r="P84" s="346">
        <f t="shared" si="25"/>
        <v>0</v>
      </c>
      <c r="Q84" s="347"/>
      <c r="R84" s="346">
        <f t="shared" si="26"/>
        <v>0</v>
      </c>
      <c r="S84" s="343">
        <f t="shared" si="27"/>
        <v>0</v>
      </c>
      <c r="T84" s="637">
        <f t="shared" si="37"/>
        <v>0</v>
      </c>
      <c r="U84" s="346">
        <f t="shared" si="28"/>
        <v>0</v>
      </c>
      <c r="V84" s="347"/>
      <c r="W84" s="343">
        <f t="shared" si="29"/>
        <v>0</v>
      </c>
      <c r="Y84" s="636">
        <v>3.3399999999999999E-2</v>
      </c>
      <c r="AA84" s="1054"/>
    </row>
    <row r="85" spans="1:33" ht="16" x14ac:dyDescent="0.3">
      <c r="A85" s="442"/>
      <c r="B85" s="78"/>
      <c r="C85" s="92" t="s">
        <v>271</v>
      </c>
      <c r="D85" s="345">
        <f>SUM(D68:D84)</f>
        <v>372.84547954572218</v>
      </c>
      <c r="E85" s="345">
        <f>SUM(E68:E84)</f>
        <v>9.0960260568930131</v>
      </c>
      <c r="F85" s="345">
        <f t="shared" ref="F85:M85" si="41">SUM(F68:F84)</f>
        <v>0</v>
      </c>
      <c r="G85" s="345">
        <f t="shared" si="41"/>
        <v>0</v>
      </c>
      <c r="H85" s="345">
        <f t="shared" si="41"/>
        <v>381.94150560261517</v>
      </c>
      <c r="I85" s="345">
        <f t="shared" si="41"/>
        <v>381.94150560261517</v>
      </c>
      <c r="J85" s="345">
        <f t="shared" si="41"/>
        <v>5.2623308312643289</v>
      </c>
      <c r="K85" s="345">
        <f t="shared" si="41"/>
        <v>0</v>
      </c>
      <c r="L85" s="345">
        <f t="shared" si="41"/>
        <v>0</v>
      </c>
      <c r="M85" s="345">
        <f t="shared" si="41"/>
        <v>387.20383643387953</v>
      </c>
      <c r="N85" s="345">
        <f t="shared" ref="N85:W85" si="42">SUM(N68:N84)</f>
        <v>387.20383643387953</v>
      </c>
      <c r="O85" s="345">
        <f t="shared" si="42"/>
        <v>6.1066129787643355</v>
      </c>
      <c r="P85" s="345">
        <f t="shared" si="42"/>
        <v>0</v>
      </c>
      <c r="Q85" s="345">
        <f t="shared" si="42"/>
        <v>0</v>
      </c>
      <c r="R85" s="345">
        <f t="shared" si="42"/>
        <v>393.31044941264383</v>
      </c>
      <c r="S85" s="345">
        <f t="shared" si="42"/>
        <v>393.31044941264383</v>
      </c>
      <c r="T85" s="345">
        <f t="shared" si="42"/>
        <v>5.7208392266675645</v>
      </c>
      <c r="U85" s="345">
        <f t="shared" si="42"/>
        <v>0</v>
      </c>
      <c r="V85" s="345">
        <f t="shared" si="42"/>
        <v>0</v>
      </c>
      <c r="W85" s="345">
        <f t="shared" si="42"/>
        <v>399.03128863931147</v>
      </c>
    </row>
    <row r="86" spans="1:33" ht="16" x14ac:dyDescent="0.3">
      <c r="A86" s="442"/>
      <c r="B86" s="258"/>
      <c r="C86" s="260" t="s">
        <v>812</v>
      </c>
      <c r="D86" s="459"/>
      <c r="E86" s="460">
        <v>3</v>
      </c>
      <c r="F86" s="459">
        <f>E85-F85</f>
        <v>9.0960260568930131</v>
      </c>
      <c r="G86" s="459"/>
      <c r="H86" s="459"/>
      <c r="I86" s="461"/>
      <c r="J86" s="460">
        <v>7</v>
      </c>
      <c r="K86" s="461"/>
      <c r="L86" s="461"/>
      <c r="M86" s="461"/>
      <c r="N86" s="459"/>
      <c r="O86" s="460">
        <f>J86-1</f>
        <v>6</v>
      </c>
      <c r="P86" s="459"/>
      <c r="Q86" s="459"/>
      <c r="R86" s="459"/>
      <c r="S86" s="461"/>
      <c r="T86" s="460">
        <f>O86-1</f>
        <v>5</v>
      </c>
      <c r="U86" s="461"/>
      <c r="V86" s="461"/>
      <c r="W86" s="461"/>
      <c r="X86" s="43"/>
      <c r="Y86" s="43"/>
      <c r="Z86" s="43"/>
      <c r="AA86" s="43"/>
      <c r="AB86" s="43"/>
      <c r="AC86" s="43"/>
      <c r="AD86" s="43"/>
      <c r="AE86" s="43"/>
      <c r="AF86" s="43"/>
      <c r="AG86" s="43"/>
    </row>
    <row r="87" spans="1:33" ht="16" x14ac:dyDescent="0.3">
      <c r="A87" s="442"/>
      <c r="B87" s="257" t="s">
        <v>598</v>
      </c>
      <c r="C87" s="261"/>
      <c r="D87" s="262"/>
      <c r="E87" s="262"/>
      <c r="F87" s="262"/>
      <c r="G87" s="262"/>
      <c r="H87" s="262"/>
      <c r="I87" s="263"/>
      <c r="J87" s="263"/>
      <c r="K87" s="258"/>
      <c r="L87" s="258"/>
      <c r="M87" s="258"/>
      <c r="N87" s="258"/>
      <c r="O87" s="258"/>
      <c r="P87" s="258"/>
      <c r="Q87" s="258"/>
      <c r="R87" s="258"/>
      <c r="S87" s="43"/>
      <c r="T87" s="43"/>
      <c r="U87" s="43"/>
      <c r="V87" s="43"/>
      <c r="W87" s="43"/>
      <c r="X87" s="43"/>
      <c r="Y87" s="43"/>
      <c r="Z87" s="43"/>
      <c r="AA87" s="43"/>
      <c r="AB87" s="43"/>
      <c r="AC87" s="43"/>
      <c r="AD87" s="43"/>
      <c r="AE87" s="43"/>
      <c r="AF87" s="43"/>
      <c r="AG87" s="43"/>
    </row>
    <row r="88" spans="1:33" ht="16" x14ac:dyDescent="0.3">
      <c r="A88" s="442"/>
      <c r="B88" s="257" t="s">
        <v>716</v>
      </c>
      <c r="C88" s="261"/>
      <c r="D88" s="262"/>
      <c r="E88" s="262"/>
      <c r="F88" s="262"/>
      <c r="G88" s="262"/>
      <c r="H88" s="262"/>
      <c r="I88" s="263"/>
      <c r="J88" s="263"/>
      <c r="K88" s="258"/>
      <c r="L88" s="258"/>
      <c r="M88" s="258"/>
      <c r="N88" s="258"/>
      <c r="O88" s="258"/>
      <c r="P88" s="258"/>
      <c r="Q88" s="258"/>
      <c r="R88" s="258"/>
      <c r="S88" s="43"/>
      <c r="T88" s="43"/>
      <c r="U88" s="43"/>
      <c r="V88" s="43"/>
      <c r="W88" s="43"/>
      <c r="X88" s="43"/>
      <c r="Y88" s="43"/>
      <c r="Z88" s="43"/>
      <c r="AA88" s="43"/>
      <c r="AB88" s="43"/>
      <c r="AC88" s="43"/>
      <c r="AD88" s="43"/>
      <c r="AE88" s="43"/>
      <c r="AF88" s="43"/>
      <c r="AG88" s="43"/>
    </row>
    <row r="89" spans="1:33" ht="15" customHeight="1" x14ac:dyDescent="0.3">
      <c r="A89" s="442"/>
      <c r="B89" s="258"/>
      <c r="C89" s="260"/>
      <c r="D89" s="260"/>
      <c r="E89" s="260"/>
      <c r="F89" s="260"/>
      <c r="G89" s="260"/>
      <c r="H89" s="260"/>
      <c r="I89" s="258"/>
      <c r="J89" s="258"/>
      <c r="K89" s="258"/>
      <c r="L89" s="258"/>
      <c r="M89" s="258"/>
      <c r="N89" s="258"/>
      <c r="O89" s="258"/>
      <c r="P89" s="258"/>
      <c r="Q89" s="258"/>
      <c r="R89" s="258"/>
    </row>
    <row r="90" spans="1:33" ht="16" x14ac:dyDescent="0.3">
      <c r="A90" s="442"/>
      <c r="B90" s="258"/>
      <c r="C90" s="260"/>
      <c r="D90" s="8"/>
      <c r="E90" s="8"/>
      <c r="F90" s="8"/>
      <c r="G90" s="8"/>
      <c r="H90" s="8"/>
      <c r="I90" s="1"/>
      <c r="J90" s="42"/>
      <c r="K90" s="1"/>
      <c r="L90" s="1"/>
      <c r="M90" s="42"/>
      <c r="N90" s="42"/>
      <c r="O90" s="1"/>
      <c r="P90" s="1"/>
      <c r="Q90" s="1"/>
      <c r="AG90" s="255" t="s">
        <v>10</v>
      </c>
    </row>
    <row r="91" spans="1:33" ht="13.75" customHeight="1" x14ac:dyDescent="0.3">
      <c r="A91" s="442"/>
      <c r="B91" s="1639" t="s">
        <v>340</v>
      </c>
      <c r="C91" s="1639" t="s">
        <v>38</v>
      </c>
      <c r="D91" s="1766" t="s">
        <v>1068</v>
      </c>
      <c r="E91" s="1767"/>
      <c r="F91" s="1767"/>
      <c r="G91" s="1767"/>
      <c r="H91" s="1768"/>
      <c r="I91" s="1766" t="s">
        <v>1069</v>
      </c>
      <c r="J91" s="1767"/>
      <c r="K91" s="1767"/>
      <c r="L91" s="1767"/>
      <c r="M91" s="1768"/>
      <c r="N91" s="1758" t="s">
        <v>1070</v>
      </c>
      <c r="O91" s="1758"/>
      <c r="P91" s="1758"/>
      <c r="Q91" s="1758"/>
      <c r="R91" s="1758"/>
      <c r="S91" s="1758" t="s">
        <v>1071</v>
      </c>
      <c r="T91" s="1758"/>
      <c r="U91" s="1758"/>
      <c r="V91" s="1758"/>
      <c r="W91" s="1758"/>
    </row>
    <row r="92" spans="1:33" x14ac:dyDescent="0.3">
      <c r="A92" s="442"/>
      <c r="B92" s="1639"/>
      <c r="C92" s="1639"/>
      <c r="D92" s="1759" t="s">
        <v>21</v>
      </c>
      <c r="E92" s="1760"/>
      <c r="F92" s="1760"/>
      <c r="G92" s="1760"/>
      <c r="H92" s="1761"/>
      <c r="I92" s="1759" t="s">
        <v>21</v>
      </c>
      <c r="J92" s="1760"/>
      <c r="K92" s="1760"/>
      <c r="L92" s="1760"/>
      <c r="M92" s="1761"/>
      <c r="N92" s="1762" t="s">
        <v>21</v>
      </c>
      <c r="O92" s="1763"/>
      <c r="P92" s="1763"/>
      <c r="Q92" s="1763"/>
      <c r="R92" s="1763"/>
      <c r="S92" s="1762" t="s">
        <v>21</v>
      </c>
      <c r="T92" s="1763"/>
      <c r="U92" s="1763"/>
      <c r="V92" s="1763"/>
      <c r="W92" s="1763"/>
    </row>
    <row r="93" spans="1:33" ht="56" x14ac:dyDescent="0.3">
      <c r="A93" s="442"/>
      <c r="B93" s="1639"/>
      <c r="C93" s="1639"/>
      <c r="D93" s="807" t="s">
        <v>273</v>
      </c>
      <c r="E93" s="807" t="s">
        <v>268</v>
      </c>
      <c r="F93" s="259" t="s">
        <v>274</v>
      </c>
      <c r="G93" s="806" t="s">
        <v>586</v>
      </c>
      <c r="H93" s="807" t="s">
        <v>275</v>
      </c>
      <c r="I93" s="807" t="s">
        <v>267</v>
      </c>
      <c r="J93" s="807" t="s">
        <v>268</v>
      </c>
      <c r="K93" s="807" t="s">
        <v>269</v>
      </c>
      <c r="L93" s="806" t="s">
        <v>586</v>
      </c>
      <c r="M93" s="807" t="s">
        <v>270</v>
      </c>
      <c r="N93" s="645" t="s">
        <v>267</v>
      </c>
      <c r="O93" s="645" t="s">
        <v>268</v>
      </c>
      <c r="P93" s="645" t="s">
        <v>269</v>
      </c>
      <c r="Q93" s="640" t="s">
        <v>586</v>
      </c>
      <c r="R93" s="645" t="s">
        <v>270</v>
      </c>
      <c r="S93" s="645" t="s">
        <v>267</v>
      </c>
      <c r="T93" s="645" t="s">
        <v>268</v>
      </c>
      <c r="U93" s="645" t="s">
        <v>269</v>
      </c>
      <c r="V93" s="640" t="s">
        <v>586</v>
      </c>
      <c r="W93" s="645" t="s">
        <v>270</v>
      </c>
    </row>
    <row r="94" spans="1:33" ht="28" x14ac:dyDescent="0.3">
      <c r="A94" s="442"/>
      <c r="B94" s="256"/>
      <c r="C94" s="256"/>
      <c r="D94" s="256" t="s">
        <v>662</v>
      </c>
      <c r="E94" s="256" t="s">
        <v>663</v>
      </c>
      <c r="F94" s="256" t="s">
        <v>664</v>
      </c>
      <c r="G94" s="256" t="s">
        <v>665</v>
      </c>
      <c r="H94" s="256" t="s">
        <v>666</v>
      </c>
      <c r="I94" s="256" t="s">
        <v>662</v>
      </c>
      <c r="J94" s="256" t="s">
        <v>663</v>
      </c>
      <c r="K94" s="256" t="s">
        <v>664</v>
      </c>
      <c r="L94" s="256" t="s">
        <v>665</v>
      </c>
      <c r="M94" s="256" t="s">
        <v>666</v>
      </c>
      <c r="N94" s="256" t="s">
        <v>662</v>
      </c>
      <c r="O94" s="256" t="s">
        <v>663</v>
      </c>
      <c r="P94" s="256" t="s">
        <v>664</v>
      </c>
      <c r="Q94" s="256" t="s">
        <v>665</v>
      </c>
      <c r="R94" s="256" t="s">
        <v>666</v>
      </c>
      <c r="S94" s="256" t="s">
        <v>662</v>
      </c>
      <c r="T94" s="256" t="s">
        <v>663</v>
      </c>
      <c r="U94" s="256" t="s">
        <v>664</v>
      </c>
      <c r="V94" s="256" t="s">
        <v>665</v>
      </c>
      <c r="W94" s="256" t="s">
        <v>666</v>
      </c>
    </row>
    <row r="95" spans="1:33" x14ac:dyDescent="0.3">
      <c r="A95" s="441">
        <f>A68</f>
        <v>0</v>
      </c>
      <c r="B95" s="90">
        <v>1</v>
      </c>
      <c r="C95" s="432" t="s">
        <v>845</v>
      </c>
      <c r="D95" s="343">
        <f t="shared" ref="D95:D111" si="43">W68</f>
        <v>0</v>
      </c>
      <c r="E95" s="637">
        <f t="shared" ref="E95:E111" si="44">IF((IFERROR(D95/((D40+E40)*90%),0))&lt;70%,MIN((MAX((D40+E40)*90%-D95,0)),(D40+E40/2)*$A95),MAX((E40+D40)*90%-D95,0)/E$113)</f>
        <v>0</v>
      </c>
      <c r="F95" s="346">
        <f t="shared" ref="F95:F111" si="45">IFERROR(IF(D95=0,0,D95/D40*F40),0)</f>
        <v>0</v>
      </c>
      <c r="G95" s="347"/>
      <c r="H95" s="343">
        <f>D95+E95-F95-G95</f>
        <v>0</v>
      </c>
      <c r="I95" s="428">
        <f>H95</f>
        <v>0</v>
      </c>
      <c r="J95" s="637">
        <f t="shared" ref="J95:J107" si="46">IF((IFERROR(I95/((I40+J40)*90%),0))&lt;70%,MIN((MAX((I40+J40)*90%-I95,0)),(I40+J40/2)*$A95),MAX((J40+I40)*90%-I95,0)/J$113)</f>
        <v>0</v>
      </c>
      <c r="K95" s="346">
        <f t="shared" ref="K95:K111" si="47">IFERROR(IF(I95=0,0,I95/I40*K40),0)</f>
        <v>0</v>
      </c>
      <c r="L95" s="451"/>
      <c r="M95" s="428">
        <f>I95+J95-K95-L95</f>
        <v>0</v>
      </c>
      <c r="N95" s="428">
        <f>M95</f>
        <v>0</v>
      </c>
      <c r="O95" s="637">
        <f t="shared" ref="O95:O107" si="48">IF((IFERROR(N95/((N40+O40)*90%),0))&lt;70%,MIN((MAX((N40+O40)*90%-N95,0)),(N40+O40/2)*$A95),MAX((O40+N40)*90%-N95,0)/O$113)</f>
        <v>0</v>
      </c>
      <c r="P95" s="346">
        <f t="shared" ref="P95:P111" si="49">IFERROR(IF(N95=0,0,N95/N40*P40),0)</f>
        <v>0</v>
      </c>
      <c r="Q95" s="451"/>
      <c r="R95" s="428">
        <f>N95+O95-P95-Q95</f>
        <v>0</v>
      </c>
      <c r="S95" s="428">
        <f>R95</f>
        <v>0</v>
      </c>
      <c r="T95" s="637">
        <f>IF((IFERROR(S95/((S40+T40)*90%),0))&lt;70%,MIN((MAX((S40+T40)*90%-S95,0)),(S40+T40/2)*$A95),MAX((T40+S40)*90%-S95,0)/T$113)</f>
        <v>0</v>
      </c>
      <c r="U95" s="346">
        <f>IFERROR(IF(S95=0,0,S95/S40*U40),0)</f>
        <v>0</v>
      </c>
      <c r="V95" s="451"/>
      <c r="W95" s="428">
        <f>S95+T95-U95-V95</f>
        <v>0</v>
      </c>
    </row>
    <row r="96" spans="1:33" x14ac:dyDescent="0.3">
      <c r="A96" s="441">
        <f t="shared" ref="A96:A111" si="50">A69</f>
        <v>3.3399999999999999E-2</v>
      </c>
      <c r="B96" s="90">
        <f>B95+1</f>
        <v>2</v>
      </c>
      <c r="C96" s="432" t="s">
        <v>846</v>
      </c>
      <c r="D96" s="343">
        <f t="shared" si="43"/>
        <v>16.654029575430439</v>
      </c>
      <c r="E96" s="637">
        <f t="shared" si="44"/>
        <v>9.2653402177322874E-3</v>
      </c>
      <c r="F96" s="346">
        <f t="shared" si="45"/>
        <v>0</v>
      </c>
      <c r="G96" s="347"/>
      <c r="H96" s="343">
        <f t="shared" ref="H96:H106" si="51">D96+E96-F96-G96</f>
        <v>16.663294915648173</v>
      </c>
      <c r="I96" s="428">
        <f t="shared" ref="I96:I111" si="52">H96</f>
        <v>16.663294915648173</v>
      </c>
      <c r="J96" s="637">
        <f t="shared" si="46"/>
        <v>9.2653402177316959E-3</v>
      </c>
      <c r="K96" s="346">
        <f t="shared" si="47"/>
        <v>0</v>
      </c>
      <c r="L96" s="451"/>
      <c r="M96" s="428">
        <f t="shared" ref="M96:M111" si="53">I96+J96-K96-L96</f>
        <v>16.672560255865903</v>
      </c>
      <c r="N96" s="428">
        <f t="shared" ref="N96:N111" si="54">M96</f>
        <v>16.672560255865903</v>
      </c>
      <c r="O96" s="637">
        <f t="shared" si="48"/>
        <v>9.2653402177322874E-3</v>
      </c>
      <c r="P96" s="346">
        <f t="shared" si="49"/>
        <v>0</v>
      </c>
      <c r="Q96" s="451"/>
      <c r="R96" s="428">
        <f t="shared" ref="R96:R111" si="55">N96+O96-P96-Q96</f>
        <v>16.681825596083634</v>
      </c>
      <c r="S96" s="428">
        <f t="shared" ref="S96:S111" si="56">R96</f>
        <v>16.681825596083634</v>
      </c>
      <c r="T96" s="637">
        <f t="shared" ref="T96:T107" si="57">IF((IFERROR(S96/((S41+T41)*90%),0))&lt;70%,MIN((MAX((S41+T41)*90%-S96,0)),(S41+T41/2)*$A96),MAX((T41+S41)*90%-S96,0)/T$113)</f>
        <v>9.2653402177340638E-3</v>
      </c>
      <c r="U96" s="346">
        <f t="shared" ref="U96:U111" si="58">IFERROR(IF(S96=0,0,S96/S41*U41),0)</f>
        <v>0</v>
      </c>
      <c r="V96" s="451"/>
      <c r="W96" s="428">
        <f t="shared" ref="W96:W111" si="59">S96+T96-U96-V96</f>
        <v>16.691090936301368</v>
      </c>
    </row>
    <row r="97" spans="1:23" x14ac:dyDescent="0.3">
      <c r="A97" s="441">
        <f t="shared" si="50"/>
        <v>5.28E-2</v>
      </c>
      <c r="B97" s="90">
        <f t="shared" ref="B97:B111" si="60">B96+1</f>
        <v>3</v>
      </c>
      <c r="C97" s="432" t="s">
        <v>847</v>
      </c>
      <c r="D97" s="343">
        <f t="shared" si="43"/>
        <v>0</v>
      </c>
      <c r="E97" s="637">
        <f t="shared" si="44"/>
        <v>0</v>
      </c>
      <c r="F97" s="346">
        <f t="shared" si="45"/>
        <v>0</v>
      </c>
      <c r="G97" s="347"/>
      <c r="H97" s="343">
        <f t="shared" si="51"/>
        <v>0</v>
      </c>
      <c r="I97" s="428">
        <f t="shared" si="52"/>
        <v>0</v>
      </c>
      <c r="J97" s="637">
        <f t="shared" si="46"/>
        <v>0</v>
      </c>
      <c r="K97" s="346">
        <f t="shared" si="47"/>
        <v>0</v>
      </c>
      <c r="L97" s="451"/>
      <c r="M97" s="428">
        <f t="shared" si="53"/>
        <v>0</v>
      </c>
      <c r="N97" s="428">
        <f t="shared" si="54"/>
        <v>0</v>
      </c>
      <c r="O97" s="637">
        <f t="shared" si="48"/>
        <v>0</v>
      </c>
      <c r="P97" s="346">
        <f t="shared" si="49"/>
        <v>0</v>
      </c>
      <c r="Q97" s="451"/>
      <c r="R97" s="428">
        <f t="shared" si="55"/>
        <v>0</v>
      </c>
      <c r="S97" s="428">
        <f t="shared" si="56"/>
        <v>0</v>
      </c>
      <c r="T97" s="637">
        <f t="shared" si="57"/>
        <v>0</v>
      </c>
      <c r="U97" s="346">
        <f t="shared" si="58"/>
        <v>0</v>
      </c>
      <c r="V97" s="451"/>
      <c r="W97" s="428">
        <f t="shared" si="59"/>
        <v>0</v>
      </c>
    </row>
    <row r="98" spans="1:23" x14ac:dyDescent="0.3">
      <c r="A98" s="441">
        <f t="shared" si="50"/>
        <v>5.28E-2</v>
      </c>
      <c r="B98" s="90">
        <f t="shared" si="60"/>
        <v>4</v>
      </c>
      <c r="C98" s="432" t="s">
        <v>848</v>
      </c>
      <c r="D98" s="343">
        <f t="shared" si="43"/>
        <v>60.667206601099942</v>
      </c>
      <c r="E98" s="637">
        <f t="shared" si="44"/>
        <v>0.15404527472501783</v>
      </c>
      <c r="F98" s="346">
        <f t="shared" si="45"/>
        <v>0</v>
      </c>
      <c r="G98" s="347"/>
      <c r="H98" s="343">
        <f t="shared" si="51"/>
        <v>60.821251875824956</v>
      </c>
      <c r="I98" s="428">
        <f t="shared" si="52"/>
        <v>60.821251875824956</v>
      </c>
      <c r="J98" s="637">
        <f t="shared" si="46"/>
        <v>0.15404527472501903</v>
      </c>
      <c r="K98" s="346">
        <f t="shared" si="47"/>
        <v>0</v>
      </c>
      <c r="L98" s="451"/>
      <c r="M98" s="428">
        <f t="shared" si="53"/>
        <v>60.975297150549977</v>
      </c>
      <c r="N98" s="428">
        <f t="shared" si="54"/>
        <v>60.975297150549977</v>
      </c>
      <c r="O98" s="637">
        <f t="shared" si="48"/>
        <v>0.15404527472501783</v>
      </c>
      <c r="P98" s="346">
        <f t="shared" si="49"/>
        <v>0</v>
      </c>
      <c r="Q98" s="451"/>
      <c r="R98" s="428">
        <f t="shared" si="55"/>
        <v>61.129342425274999</v>
      </c>
      <c r="S98" s="428">
        <f t="shared" si="56"/>
        <v>61.129342425274999</v>
      </c>
      <c r="T98" s="637">
        <f t="shared" si="57"/>
        <v>0.15404527472501428</v>
      </c>
      <c r="U98" s="346">
        <f t="shared" si="58"/>
        <v>0</v>
      </c>
      <c r="V98" s="451"/>
      <c r="W98" s="428">
        <f t="shared" si="59"/>
        <v>61.283387700000013</v>
      </c>
    </row>
    <row r="99" spans="1:23" x14ac:dyDescent="0.3">
      <c r="A99" s="441">
        <f t="shared" si="50"/>
        <v>3.3399999999999999E-2</v>
      </c>
      <c r="B99" s="90">
        <f t="shared" si="60"/>
        <v>5</v>
      </c>
      <c r="C99" s="432" t="s">
        <v>849</v>
      </c>
      <c r="D99" s="343">
        <f t="shared" si="43"/>
        <v>63.707903056786535</v>
      </c>
      <c r="E99" s="637">
        <f t="shared" si="44"/>
        <v>3.0963453858033674</v>
      </c>
      <c r="F99" s="346">
        <f t="shared" si="45"/>
        <v>0</v>
      </c>
      <c r="G99" s="347"/>
      <c r="H99" s="343">
        <f t="shared" si="51"/>
        <v>66.804248442589909</v>
      </c>
      <c r="I99" s="428">
        <f t="shared" si="52"/>
        <v>66.804248442589909</v>
      </c>
      <c r="J99" s="637">
        <f t="shared" si="46"/>
        <v>3.0963453858033652</v>
      </c>
      <c r="K99" s="346">
        <f t="shared" si="47"/>
        <v>0</v>
      </c>
      <c r="L99" s="451"/>
      <c r="M99" s="428">
        <f t="shared" si="53"/>
        <v>69.900593828393269</v>
      </c>
      <c r="N99" s="428">
        <f t="shared" si="54"/>
        <v>69.900593828393269</v>
      </c>
      <c r="O99" s="637">
        <f t="shared" si="48"/>
        <v>3.0963453858033674</v>
      </c>
      <c r="P99" s="346">
        <f t="shared" si="49"/>
        <v>0</v>
      </c>
      <c r="Q99" s="451"/>
      <c r="R99" s="428">
        <f t="shared" si="55"/>
        <v>72.99693921419663</v>
      </c>
      <c r="S99" s="428">
        <f t="shared" si="56"/>
        <v>72.99693921419663</v>
      </c>
      <c r="T99" s="637">
        <f t="shared" si="57"/>
        <v>3.0963453858033745</v>
      </c>
      <c r="U99" s="346">
        <f t="shared" si="58"/>
        <v>0</v>
      </c>
      <c r="V99" s="451"/>
      <c r="W99" s="428">
        <f t="shared" si="59"/>
        <v>76.093284600000004</v>
      </c>
    </row>
    <row r="100" spans="1:23" x14ac:dyDescent="0.3">
      <c r="A100" s="441">
        <f t="shared" si="50"/>
        <v>5.28E-2</v>
      </c>
      <c r="B100" s="90">
        <f t="shared" si="60"/>
        <v>6</v>
      </c>
      <c r="C100" s="432" t="s">
        <v>256</v>
      </c>
      <c r="D100" s="343">
        <f t="shared" si="43"/>
        <v>251.86652789772828</v>
      </c>
      <c r="E100" s="637">
        <f t="shared" si="44"/>
        <v>2.2837923362344341</v>
      </c>
      <c r="F100" s="346">
        <f t="shared" si="45"/>
        <v>0</v>
      </c>
      <c r="G100" s="347"/>
      <c r="H100" s="343">
        <f t="shared" si="51"/>
        <v>254.1503202339627</v>
      </c>
      <c r="I100" s="428">
        <f t="shared" si="52"/>
        <v>254.1503202339627</v>
      </c>
      <c r="J100" s="637">
        <f t="shared" si="46"/>
        <v>2.2837923362344363</v>
      </c>
      <c r="K100" s="346">
        <f t="shared" si="47"/>
        <v>0</v>
      </c>
      <c r="L100" s="451"/>
      <c r="M100" s="428">
        <f t="shared" si="53"/>
        <v>256.43411257019716</v>
      </c>
      <c r="N100" s="428">
        <f t="shared" si="54"/>
        <v>256.43411257019716</v>
      </c>
      <c r="O100" s="637">
        <f t="shared" si="48"/>
        <v>2.283792336234427</v>
      </c>
      <c r="P100" s="346">
        <f t="shared" si="49"/>
        <v>0</v>
      </c>
      <c r="Q100" s="451"/>
      <c r="R100" s="428">
        <f t="shared" si="55"/>
        <v>258.71790490643161</v>
      </c>
      <c r="S100" s="428">
        <f t="shared" si="56"/>
        <v>258.71790490643161</v>
      </c>
      <c r="T100" s="637">
        <f t="shared" si="57"/>
        <v>2.2837923362343986</v>
      </c>
      <c r="U100" s="346">
        <f t="shared" si="58"/>
        <v>0</v>
      </c>
      <c r="V100" s="451"/>
      <c r="W100" s="428">
        <f t="shared" si="59"/>
        <v>261.00169724266601</v>
      </c>
    </row>
    <row r="101" spans="1:23" x14ac:dyDescent="0.3">
      <c r="A101" s="441">
        <f t="shared" si="50"/>
        <v>0.18</v>
      </c>
      <c r="B101" s="90">
        <f t="shared" si="60"/>
        <v>7</v>
      </c>
      <c r="C101" s="432" t="s">
        <v>850</v>
      </c>
      <c r="D101" s="343">
        <f t="shared" si="43"/>
        <v>1.9933150816368788</v>
      </c>
      <c r="E101" s="637">
        <f t="shared" si="44"/>
        <v>6.4446321153019681E-2</v>
      </c>
      <c r="F101" s="346">
        <f t="shared" si="45"/>
        <v>0</v>
      </c>
      <c r="G101" s="347"/>
      <c r="H101" s="343">
        <f t="shared" si="51"/>
        <v>2.0577614027898985</v>
      </c>
      <c r="I101" s="428">
        <f t="shared" si="52"/>
        <v>2.0577614027898985</v>
      </c>
      <c r="J101" s="637">
        <f t="shared" si="46"/>
        <v>6.4446321153019667E-2</v>
      </c>
      <c r="K101" s="346">
        <f t="shared" si="47"/>
        <v>0</v>
      </c>
      <c r="L101" s="451"/>
      <c r="M101" s="428">
        <f t="shared" si="53"/>
        <v>2.122207723942918</v>
      </c>
      <c r="N101" s="428">
        <f t="shared" si="54"/>
        <v>2.122207723942918</v>
      </c>
      <c r="O101" s="637">
        <f t="shared" si="48"/>
        <v>6.4446321153019737E-2</v>
      </c>
      <c r="P101" s="346">
        <f t="shared" si="49"/>
        <v>0</v>
      </c>
      <c r="Q101" s="451"/>
      <c r="R101" s="428">
        <f t="shared" si="55"/>
        <v>2.1866540450959375</v>
      </c>
      <c r="S101" s="428">
        <f t="shared" si="56"/>
        <v>2.1866540450959375</v>
      </c>
      <c r="T101" s="637">
        <f t="shared" si="57"/>
        <v>6.4446321153019959E-2</v>
      </c>
      <c r="U101" s="346">
        <f t="shared" si="58"/>
        <v>0</v>
      </c>
      <c r="V101" s="451"/>
      <c r="W101" s="428">
        <f t="shared" si="59"/>
        <v>2.2511003662489575</v>
      </c>
    </row>
    <row r="102" spans="1:23" x14ac:dyDescent="0.3">
      <c r="A102" s="441">
        <f t="shared" si="50"/>
        <v>5.28E-2</v>
      </c>
      <c r="B102" s="90">
        <f t="shared" si="60"/>
        <v>8</v>
      </c>
      <c r="C102" s="432" t="s">
        <v>851</v>
      </c>
      <c r="D102" s="343">
        <f t="shared" si="43"/>
        <v>1.784008192528265E-2</v>
      </c>
      <c r="E102" s="637">
        <f t="shared" si="44"/>
        <v>3.2436512591423002E-3</v>
      </c>
      <c r="F102" s="346">
        <f t="shared" si="45"/>
        <v>0</v>
      </c>
      <c r="G102" s="347"/>
      <c r="H102" s="343">
        <f t="shared" si="51"/>
        <v>2.1083733184424951E-2</v>
      </c>
      <c r="I102" s="428">
        <f t="shared" si="52"/>
        <v>2.1083733184424951E-2</v>
      </c>
      <c r="J102" s="637">
        <f t="shared" si="46"/>
        <v>3.2436512591423002E-3</v>
      </c>
      <c r="K102" s="346">
        <f t="shared" si="47"/>
        <v>0</v>
      </c>
      <c r="L102" s="451"/>
      <c r="M102" s="428">
        <f t="shared" si="53"/>
        <v>2.4327384443567253E-2</v>
      </c>
      <c r="N102" s="428">
        <f t="shared" si="54"/>
        <v>2.4327384443567253E-2</v>
      </c>
      <c r="O102" s="637">
        <f t="shared" si="48"/>
        <v>3.2436512591423002E-3</v>
      </c>
      <c r="P102" s="346">
        <f t="shared" si="49"/>
        <v>0</v>
      </c>
      <c r="Q102" s="451"/>
      <c r="R102" s="428">
        <f t="shared" si="55"/>
        <v>2.7571035702709554E-2</v>
      </c>
      <c r="S102" s="428">
        <f t="shared" si="56"/>
        <v>2.7571035702709554E-2</v>
      </c>
      <c r="T102" s="637">
        <f t="shared" si="57"/>
        <v>3.2436512591423002E-3</v>
      </c>
      <c r="U102" s="346">
        <f t="shared" si="58"/>
        <v>0</v>
      </c>
      <c r="V102" s="451"/>
      <c r="W102" s="428">
        <f t="shared" si="59"/>
        <v>3.0814686961851856E-2</v>
      </c>
    </row>
    <row r="103" spans="1:23" x14ac:dyDescent="0.3">
      <c r="A103" s="441">
        <f t="shared" si="50"/>
        <v>5.28E-2</v>
      </c>
      <c r="B103" s="90">
        <f t="shared" si="60"/>
        <v>9</v>
      </c>
      <c r="C103" s="432" t="s">
        <v>852</v>
      </c>
      <c r="D103" s="343">
        <f t="shared" si="43"/>
        <v>0.3910440176002814</v>
      </c>
      <c r="E103" s="637">
        <f t="shared" si="44"/>
        <v>0</v>
      </c>
      <c r="F103" s="346">
        <f t="shared" si="45"/>
        <v>0</v>
      </c>
      <c r="G103" s="347"/>
      <c r="H103" s="343">
        <f t="shared" si="51"/>
        <v>0.3910440176002814</v>
      </c>
      <c r="I103" s="428">
        <f t="shared" si="52"/>
        <v>0.3910440176002814</v>
      </c>
      <c r="J103" s="637">
        <f t="shared" si="46"/>
        <v>0</v>
      </c>
      <c r="K103" s="346">
        <f t="shared" si="47"/>
        <v>0</v>
      </c>
      <c r="L103" s="451"/>
      <c r="M103" s="428">
        <f t="shared" si="53"/>
        <v>0.3910440176002814</v>
      </c>
      <c r="N103" s="428">
        <f t="shared" si="54"/>
        <v>0.3910440176002814</v>
      </c>
      <c r="O103" s="637">
        <f t="shared" si="48"/>
        <v>0</v>
      </c>
      <c r="P103" s="346">
        <f t="shared" si="49"/>
        <v>0</v>
      </c>
      <c r="Q103" s="451"/>
      <c r="R103" s="428">
        <f t="shared" si="55"/>
        <v>0.3910440176002814</v>
      </c>
      <c r="S103" s="428">
        <f t="shared" si="56"/>
        <v>0.3910440176002814</v>
      </c>
      <c r="T103" s="637">
        <f t="shared" si="57"/>
        <v>0</v>
      </c>
      <c r="U103" s="346">
        <f t="shared" si="58"/>
        <v>0</v>
      </c>
      <c r="V103" s="451"/>
      <c r="W103" s="428">
        <f t="shared" si="59"/>
        <v>0.3910440176002814</v>
      </c>
    </row>
    <row r="104" spans="1:23" x14ac:dyDescent="0.3">
      <c r="A104" s="441">
        <f t="shared" si="50"/>
        <v>9.5000000000000001E-2</v>
      </c>
      <c r="B104" s="90">
        <f t="shared" si="60"/>
        <v>10</v>
      </c>
      <c r="C104" s="432" t="s">
        <v>259</v>
      </c>
      <c r="D104" s="343">
        <f t="shared" si="43"/>
        <v>1.3056993899999998</v>
      </c>
      <c r="E104" s="637">
        <f t="shared" si="44"/>
        <v>0</v>
      </c>
      <c r="F104" s="346">
        <f t="shared" si="45"/>
        <v>0</v>
      </c>
      <c r="G104" s="347"/>
      <c r="H104" s="343">
        <f t="shared" si="51"/>
        <v>1.3056993899999998</v>
      </c>
      <c r="I104" s="428">
        <f t="shared" si="52"/>
        <v>1.3056993899999998</v>
      </c>
      <c r="J104" s="637">
        <f t="shared" si="46"/>
        <v>0</v>
      </c>
      <c r="K104" s="346">
        <f t="shared" si="47"/>
        <v>0</v>
      </c>
      <c r="L104" s="451"/>
      <c r="M104" s="428">
        <f t="shared" si="53"/>
        <v>1.3056993899999998</v>
      </c>
      <c r="N104" s="428">
        <f t="shared" si="54"/>
        <v>1.3056993899999998</v>
      </c>
      <c r="O104" s="637">
        <f t="shared" si="48"/>
        <v>0</v>
      </c>
      <c r="P104" s="346">
        <f t="shared" si="49"/>
        <v>0</v>
      </c>
      <c r="Q104" s="451"/>
      <c r="R104" s="428">
        <f t="shared" si="55"/>
        <v>1.3056993899999998</v>
      </c>
      <c r="S104" s="428">
        <f t="shared" si="56"/>
        <v>1.3056993899999998</v>
      </c>
      <c r="T104" s="637">
        <f t="shared" si="57"/>
        <v>0</v>
      </c>
      <c r="U104" s="346">
        <f t="shared" si="58"/>
        <v>0</v>
      </c>
      <c r="V104" s="451"/>
      <c r="W104" s="428">
        <f t="shared" si="59"/>
        <v>1.3056993899999998</v>
      </c>
    </row>
    <row r="105" spans="1:23" x14ac:dyDescent="0.3">
      <c r="A105" s="441">
        <f t="shared" si="50"/>
        <v>6.3299999999999995E-2</v>
      </c>
      <c r="B105" s="90">
        <f t="shared" si="60"/>
        <v>11</v>
      </c>
      <c r="C105" s="432" t="s">
        <v>260</v>
      </c>
      <c r="D105" s="343">
        <f t="shared" si="43"/>
        <v>0.72324607569758836</v>
      </c>
      <c r="E105" s="637">
        <f t="shared" si="44"/>
        <v>4.0519347629550562E-2</v>
      </c>
      <c r="F105" s="346">
        <f t="shared" si="45"/>
        <v>0</v>
      </c>
      <c r="G105" s="347"/>
      <c r="H105" s="343">
        <f t="shared" si="51"/>
        <v>0.76376542332713893</v>
      </c>
      <c r="I105" s="428">
        <f t="shared" si="52"/>
        <v>0.76376542332713893</v>
      </c>
      <c r="J105" s="637">
        <f t="shared" si="46"/>
        <v>4.0519347629550562E-2</v>
      </c>
      <c r="K105" s="346">
        <f t="shared" si="47"/>
        <v>0</v>
      </c>
      <c r="L105" s="451"/>
      <c r="M105" s="428">
        <f t="shared" si="53"/>
        <v>0.80428477095668949</v>
      </c>
      <c r="N105" s="428">
        <f t="shared" si="54"/>
        <v>0.80428477095668949</v>
      </c>
      <c r="O105" s="637">
        <f t="shared" si="48"/>
        <v>4.0519347629550562E-2</v>
      </c>
      <c r="P105" s="346">
        <f t="shared" si="49"/>
        <v>0</v>
      </c>
      <c r="Q105" s="451"/>
      <c r="R105" s="428">
        <f t="shared" si="55"/>
        <v>0.84480411858624005</v>
      </c>
      <c r="S105" s="428">
        <f t="shared" si="56"/>
        <v>0.84480411858624005</v>
      </c>
      <c r="T105" s="637">
        <f t="shared" si="57"/>
        <v>4.0519347629550562E-2</v>
      </c>
      <c r="U105" s="346">
        <f t="shared" si="58"/>
        <v>0</v>
      </c>
      <c r="V105" s="451"/>
      <c r="W105" s="428">
        <f t="shared" si="59"/>
        <v>0.88532346621579061</v>
      </c>
    </row>
    <row r="106" spans="1:23" x14ac:dyDescent="0.3">
      <c r="A106" s="441">
        <f t="shared" si="50"/>
        <v>6.3299999999999995E-2</v>
      </c>
      <c r="B106" s="90">
        <f t="shared" si="60"/>
        <v>12</v>
      </c>
      <c r="C106" s="432" t="s">
        <v>261</v>
      </c>
      <c r="D106" s="343">
        <f t="shared" si="43"/>
        <v>1.6922408665562543</v>
      </c>
      <c r="E106" s="637">
        <f t="shared" si="44"/>
        <v>7.1414737545302365E-2</v>
      </c>
      <c r="F106" s="346">
        <f t="shared" si="45"/>
        <v>0</v>
      </c>
      <c r="G106" s="347"/>
      <c r="H106" s="343">
        <f t="shared" si="51"/>
        <v>1.7636556041015568</v>
      </c>
      <c r="I106" s="428">
        <f t="shared" si="52"/>
        <v>1.7636556041015568</v>
      </c>
      <c r="J106" s="637">
        <f t="shared" si="46"/>
        <v>7.1414737545302323E-2</v>
      </c>
      <c r="K106" s="346">
        <f t="shared" si="47"/>
        <v>0</v>
      </c>
      <c r="L106" s="451"/>
      <c r="M106" s="428">
        <f t="shared" si="53"/>
        <v>1.835070341646859</v>
      </c>
      <c r="N106" s="428">
        <f t="shared" si="54"/>
        <v>1.835070341646859</v>
      </c>
      <c r="O106" s="637">
        <f t="shared" si="48"/>
        <v>7.1414737545302365E-2</v>
      </c>
      <c r="P106" s="346">
        <f t="shared" si="49"/>
        <v>0</v>
      </c>
      <c r="Q106" s="451"/>
      <c r="R106" s="428">
        <f t="shared" si="55"/>
        <v>1.9064850791921613</v>
      </c>
      <c r="S106" s="428">
        <f t="shared" si="56"/>
        <v>1.9064850791921613</v>
      </c>
      <c r="T106" s="637">
        <f t="shared" si="57"/>
        <v>7.1414737545302476E-2</v>
      </c>
      <c r="U106" s="346">
        <f t="shared" si="58"/>
        <v>0</v>
      </c>
      <c r="V106" s="451"/>
      <c r="W106" s="428">
        <f t="shared" si="59"/>
        <v>1.9778998167374637</v>
      </c>
    </row>
    <row r="107" spans="1:23" x14ac:dyDescent="0.3">
      <c r="A107" s="441">
        <f t="shared" si="50"/>
        <v>6.3299999999999995E-2</v>
      </c>
      <c r="B107" s="90">
        <f t="shared" si="60"/>
        <v>13</v>
      </c>
      <c r="C107" s="450" t="s">
        <v>899</v>
      </c>
      <c r="D107" s="343">
        <f t="shared" si="43"/>
        <v>0</v>
      </c>
      <c r="E107" s="637">
        <f t="shared" si="44"/>
        <v>0</v>
      </c>
      <c r="F107" s="346">
        <f t="shared" si="45"/>
        <v>0</v>
      </c>
      <c r="G107" s="347"/>
      <c r="H107" s="343">
        <f t="shared" ref="H107:H111" si="61">D107+E107-F107-G107</f>
        <v>0</v>
      </c>
      <c r="I107" s="428">
        <f t="shared" si="52"/>
        <v>0</v>
      </c>
      <c r="J107" s="637">
        <f t="shared" si="46"/>
        <v>0</v>
      </c>
      <c r="K107" s="346">
        <f t="shared" si="47"/>
        <v>0</v>
      </c>
      <c r="L107" s="451"/>
      <c r="M107" s="428">
        <f t="shared" si="53"/>
        <v>0</v>
      </c>
      <c r="N107" s="428">
        <f t="shared" si="54"/>
        <v>0</v>
      </c>
      <c r="O107" s="637">
        <f t="shared" si="48"/>
        <v>0</v>
      </c>
      <c r="P107" s="346">
        <f t="shared" si="49"/>
        <v>0</v>
      </c>
      <c r="Q107" s="451"/>
      <c r="R107" s="428">
        <f t="shared" si="55"/>
        <v>0</v>
      </c>
      <c r="S107" s="428">
        <f t="shared" si="56"/>
        <v>0</v>
      </c>
      <c r="T107" s="637">
        <f t="shared" si="57"/>
        <v>0</v>
      </c>
      <c r="U107" s="346">
        <f t="shared" si="58"/>
        <v>0</v>
      </c>
      <c r="V107" s="451"/>
      <c r="W107" s="428">
        <f t="shared" si="59"/>
        <v>0</v>
      </c>
    </row>
    <row r="108" spans="1:23" x14ac:dyDescent="0.3">
      <c r="A108" s="441">
        <f t="shared" si="50"/>
        <v>0.15</v>
      </c>
      <c r="B108" s="90">
        <f t="shared" si="60"/>
        <v>14</v>
      </c>
      <c r="C108" s="450" t="s">
        <v>900</v>
      </c>
      <c r="D108" s="343">
        <f t="shared" si="43"/>
        <v>1.2235994849999994E-2</v>
      </c>
      <c r="E108" s="637">
        <f>IF((IFERROR(D108/((D53+E53)*100%),0))&lt;70%,MIN((MAX((D53+E53)*100%-D108,0)),(D53+E53/2)*$A108),MAX((E53+D53)*100%-D108,0)/E$113)</f>
        <v>-2.2331679000000019E-3</v>
      </c>
      <c r="F108" s="346">
        <f t="shared" si="45"/>
        <v>0</v>
      </c>
      <c r="G108" s="347"/>
      <c r="H108" s="343">
        <f t="shared" si="61"/>
        <v>1.0002826949999991E-2</v>
      </c>
      <c r="I108" s="428">
        <f t="shared" si="52"/>
        <v>1.0002826949999991E-2</v>
      </c>
      <c r="J108" s="637">
        <f>IF((IFERROR(I108/((I53+J53)*100%),0))&lt;70%,MIN((MAX((I53+J53)*100%-I108,0)),(I53+J53/2)*$A108),MAX((J53+I53)*100%-I108,0)/J$113)</f>
        <v>-2.2331679000000019E-3</v>
      </c>
      <c r="K108" s="346">
        <f t="shared" si="47"/>
        <v>0</v>
      </c>
      <c r="L108" s="451"/>
      <c r="M108" s="428">
        <f t="shared" si="53"/>
        <v>7.7696590499999893E-3</v>
      </c>
      <c r="N108" s="428">
        <f t="shared" si="54"/>
        <v>7.7696590499999893E-3</v>
      </c>
      <c r="O108" s="637">
        <f>IF((IFERROR(N108/((N53+O53)*100%),0))&lt;70%,MIN((MAX((N53+O53)*100%-N108,0)),(N53+O53/2)*$A108),MAX((O53+N53)*100%-N108,0)/O$113)</f>
        <v>-2.2331679000000019E-3</v>
      </c>
      <c r="P108" s="346">
        <f t="shared" si="49"/>
        <v>0</v>
      </c>
      <c r="Q108" s="451"/>
      <c r="R108" s="428">
        <f t="shared" si="55"/>
        <v>5.5364911499999874E-3</v>
      </c>
      <c r="S108" s="428">
        <f t="shared" si="56"/>
        <v>5.5364911499999874E-3</v>
      </c>
      <c r="T108" s="637">
        <f>IF((IFERROR(S108/((S53+T53)*100%),0))&lt;70%,MIN((MAX((S53+T53)*100%-S108,0)),(S53+T53/2)*$A108),MAX((T53+S53)*100%-S108,0)/T$113)</f>
        <v>-2.2331679000000019E-3</v>
      </c>
      <c r="U108" s="346">
        <f t="shared" si="58"/>
        <v>0</v>
      </c>
      <c r="V108" s="451"/>
      <c r="W108" s="428">
        <f t="shared" si="59"/>
        <v>3.3033232499999855E-3</v>
      </c>
    </row>
    <row r="109" spans="1:23" x14ac:dyDescent="0.3">
      <c r="A109" s="441">
        <f t="shared" si="50"/>
        <v>0.3</v>
      </c>
      <c r="B109" s="90">
        <f t="shared" si="60"/>
        <v>15</v>
      </c>
      <c r="C109" s="450" t="s">
        <v>901</v>
      </c>
      <c r="D109" s="343">
        <f t="shared" si="43"/>
        <v>0</v>
      </c>
      <c r="E109" s="637">
        <f>IF((IFERROR(D109/((D54+E54)*100%),0))&lt;70%,MIN((MAX((D54+E54)*100%-D109,0)),(D54+E54/2)*$A109),MAX((E54+D54)*100%-D109,0)/E$113)</f>
        <v>0</v>
      </c>
      <c r="F109" s="346">
        <f t="shared" si="45"/>
        <v>0</v>
      </c>
      <c r="G109" s="347"/>
      <c r="H109" s="343">
        <f t="shared" si="61"/>
        <v>0</v>
      </c>
      <c r="I109" s="428">
        <f t="shared" si="52"/>
        <v>0</v>
      </c>
      <c r="J109" s="637">
        <f>IF((IFERROR(I109/((I54+J54)*100%),0))&lt;70%,MIN((MAX((I54+J54)*100%-I109,0)),(I54+J54/2)*$A109),MAX((J54+I54)*100%-I109,0)/J$113)</f>
        <v>0</v>
      </c>
      <c r="K109" s="346">
        <f t="shared" si="47"/>
        <v>0</v>
      </c>
      <c r="L109" s="451"/>
      <c r="M109" s="428">
        <f t="shared" si="53"/>
        <v>0</v>
      </c>
      <c r="N109" s="428">
        <f t="shared" si="54"/>
        <v>0</v>
      </c>
      <c r="O109" s="637">
        <f>IF((IFERROR(N109/((N54+O54)*100%),0))&lt;70%,MIN((MAX((N54+O54)*100%-N109,0)),(N54+O54/2)*$A109),MAX((O54+N54)*100%-N109,0)/O$113)</f>
        <v>0</v>
      </c>
      <c r="P109" s="346">
        <f t="shared" si="49"/>
        <v>0</v>
      </c>
      <c r="Q109" s="451"/>
      <c r="R109" s="428">
        <f t="shared" si="55"/>
        <v>0</v>
      </c>
      <c r="S109" s="428">
        <f t="shared" si="56"/>
        <v>0</v>
      </c>
      <c r="T109" s="637">
        <f>IF((IFERROR(S109/((S54+T54)*100%),0))&lt;70%,MIN((MAX((S54+T54)*100%-S109,0)),(S54+T54/2)*$A109),MAX((T54+S54)*100%-S109,0)/T$113)</f>
        <v>0</v>
      </c>
      <c r="U109" s="346">
        <f t="shared" si="58"/>
        <v>0</v>
      </c>
      <c r="V109" s="451"/>
      <c r="W109" s="428">
        <f t="shared" si="59"/>
        <v>0</v>
      </c>
    </row>
    <row r="110" spans="1:23" x14ac:dyDescent="0.3">
      <c r="A110" s="441">
        <f t="shared" si="50"/>
        <v>0.3</v>
      </c>
      <c r="B110" s="90">
        <f t="shared" si="60"/>
        <v>16</v>
      </c>
      <c r="C110" s="450" t="s">
        <v>853</v>
      </c>
      <c r="D110" s="343">
        <f t="shared" si="43"/>
        <v>0</v>
      </c>
      <c r="E110" s="637">
        <f>IF((IFERROR(D110/((D55+E55)*100%),0))&lt;70%,MIN((MAX((D55+E55)*100%-D110,0)),(D55+E55/2)*$A110),MAX((E55+D55)*100%-D110,0)/E$113)</f>
        <v>0</v>
      </c>
      <c r="F110" s="346">
        <f t="shared" si="45"/>
        <v>0</v>
      </c>
      <c r="G110" s="347"/>
      <c r="H110" s="343">
        <f t="shared" si="61"/>
        <v>0</v>
      </c>
      <c r="I110" s="428">
        <f t="shared" si="52"/>
        <v>0</v>
      </c>
      <c r="J110" s="637">
        <f>IF((IFERROR(I110/((I55+J55)*100%),0))&lt;70%,MIN((MAX((I55+J55)*100%-I110,0)),(I55+J55/2)*$A110),MAX((J55+I55)*100%-I110,0)/J$113)</f>
        <v>0</v>
      </c>
      <c r="K110" s="346">
        <f t="shared" si="47"/>
        <v>0</v>
      </c>
      <c r="L110" s="451"/>
      <c r="M110" s="428">
        <f t="shared" si="53"/>
        <v>0</v>
      </c>
      <c r="N110" s="428">
        <f t="shared" si="54"/>
        <v>0</v>
      </c>
      <c r="O110" s="637">
        <f>IF((IFERROR(N110/((N55+O55)*100%),0))&lt;70%,MIN((MAX((N55+O55)*100%-N110,0)),(N55+O55/2)*$A110),MAX((O55+N55)*100%-N110,0)/O$113)</f>
        <v>0</v>
      </c>
      <c r="P110" s="346">
        <f t="shared" si="49"/>
        <v>0</v>
      </c>
      <c r="Q110" s="451"/>
      <c r="R110" s="428">
        <f t="shared" si="55"/>
        <v>0</v>
      </c>
      <c r="S110" s="428">
        <f t="shared" si="56"/>
        <v>0</v>
      </c>
      <c r="T110" s="637">
        <f>IF((IFERROR(S110/((S55+T55)*100%),0))&lt;70%,MIN((MAX((S55+T55)*100%-S110,0)),(S55+T55/2)*$A110),MAX((T55+S55)*100%-S110,0)/T$113)</f>
        <v>0</v>
      </c>
      <c r="U110" s="346">
        <f t="shared" si="58"/>
        <v>0</v>
      </c>
      <c r="V110" s="451"/>
      <c r="W110" s="428">
        <f t="shared" si="59"/>
        <v>0</v>
      </c>
    </row>
    <row r="111" spans="1:23" x14ac:dyDescent="0.3">
      <c r="A111" s="441">
        <f t="shared" si="50"/>
        <v>3.3399999999999999E-2</v>
      </c>
      <c r="B111" s="90">
        <f t="shared" si="60"/>
        <v>17</v>
      </c>
      <c r="C111" s="450" t="s">
        <v>902</v>
      </c>
      <c r="D111" s="343">
        <f t="shared" si="43"/>
        <v>0</v>
      </c>
      <c r="E111" s="637">
        <f t="shared" si="44"/>
        <v>0</v>
      </c>
      <c r="F111" s="346">
        <f t="shared" si="45"/>
        <v>0</v>
      </c>
      <c r="G111" s="347"/>
      <c r="H111" s="343">
        <f t="shared" si="61"/>
        <v>0</v>
      </c>
      <c r="I111" s="428">
        <f t="shared" si="52"/>
        <v>0</v>
      </c>
      <c r="J111" s="637">
        <f t="shared" ref="J111" si="62">IF((IFERROR(I111/((I56+J56)*90%),0))&lt;70%,MIN((MAX((I56+J56)*90%-I111,0)),(I56+J56/2)*$A111),MAX((J56+I56)*90%-I111,0)/J$113)</f>
        <v>0</v>
      </c>
      <c r="K111" s="346">
        <f t="shared" si="47"/>
        <v>0</v>
      </c>
      <c r="L111" s="451"/>
      <c r="M111" s="428">
        <f t="shared" si="53"/>
        <v>0</v>
      </c>
      <c r="N111" s="428">
        <f t="shared" si="54"/>
        <v>0</v>
      </c>
      <c r="O111" s="637">
        <f t="shared" ref="O111" si="63">IF((IFERROR(N111/((N56+O56)*90%),0))&lt;70%,MIN((MAX((N56+O56)*90%-N111,0)),(N56+O56/2)*$A111),MAX((O56+N56)*90%-N111,0)/O$113)</f>
        <v>0</v>
      </c>
      <c r="P111" s="346">
        <f t="shared" si="49"/>
        <v>0</v>
      </c>
      <c r="Q111" s="451"/>
      <c r="R111" s="428">
        <f t="shared" si="55"/>
        <v>0</v>
      </c>
      <c r="S111" s="428">
        <f t="shared" si="56"/>
        <v>0</v>
      </c>
      <c r="T111" s="637">
        <f t="shared" ref="T111" si="64">IF((IFERROR(S111/((S56+T56)*90%),0))&lt;70%,MIN((MAX((S56+T56)*90%-S111,0)),(S56+T56/2)*$A111),MAX((T56+S56)*90%-S111,0)/T$113)</f>
        <v>0</v>
      </c>
      <c r="U111" s="346">
        <f t="shared" si="58"/>
        <v>0</v>
      </c>
      <c r="V111" s="451"/>
      <c r="W111" s="428">
        <f t="shared" si="59"/>
        <v>0</v>
      </c>
    </row>
    <row r="112" spans="1:23" ht="16" x14ac:dyDescent="0.3">
      <c r="B112" s="78"/>
      <c r="C112" s="92" t="s">
        <v>271</v>
      </c>
      <c r="D112" s="345">
        <f t="shared" ref="D112:W112" si="65">SUM(D95:D111)</f>
        <v>399.03128863931147</v>
      </c>
      <c r="E112" s="345">
        <f t="shared" si="65"/>
        <v>5.7208392266675663</v>
      </c>
      <c r="F112" s="345">
        <f t="shared" si="65"/>
        <v>0</v>
      </c>
      <c r="G112" s="345">
        <f t="shared" si="65"/>
        <v>0</v>
      </c>
      <c r="H112" s="345">
        <f t="shared" si="65"/>
        <v>404.75212786597893</v>
      </c>
      <c r="I112" s="345">
        <f t="shared" si="65"/>
        <v>404.75212786597893</v>
      </c>
      <c r="J112" s="345">
        <f t="shared" si="65"/>
        <v>5.7208392266675663</v>
      </c>
      <c r="K112" s="345">
        <f t="shared" si="65"/>
        <v>0</v>
      </c>
      <c r="L112" s="345">
        <f t="shared" si="65"/>
        <v>0</v>
      </c>
      <c r="M112" s="345">
        <f t="shared" si="65"/>
        <v>410.47296709264657</v>
      </c>
      <c r="N112" s="345">
        <f t="shared" si="65"/>
        <v>410.47296709264657</v>
      </c>
      <c r="O112" s="345">
        <f t="shared" si="65"/>
        <v>5.7208392266675592</v>
      </c>
      <c r="P112" s="345">
        <f t="shared" si="65"/>
        <v>0</v>
      </c>
      <c r="Q112" s="345">
        <f t="shared" si="65"/>
        <v>0</v>
      </c>
      <c r="R112" s="345">
        <f t="shared" si="65"/>
        <v>416.19380631931421</v>
      </c>
      <c r="S112" s="345">
        <f t="shared" si="65"/>
        <v>416.19380631931421</v>
      </c>
      <c r="T112" s="345">
        <f t="shared" si="65"/>
        <v>5.7208392266675361</v>
      </c>
      <c r="U112" s="345">
        <f t="shared" si="65"/>
        <v>0</v>
      </c>
      <c r="V112" s="345">
        <f t="shared" si="65"/>
        <v>0</v>
      </c>
      <c r="W112" s="345">
        <f t="shared" si="65"/>
        <v>421.91464554598173</v>
      </c>
    </row>
    <row r="113" spans="2:23" ht="16" x14ac:dyDescent="0.3">
      <c r="B113" s="258"/>
      <c r="C113" s="260"/>
      <c r="D113" s="461"/>
      <c r="E113" s="460">
        <f>T86-1</f>
        <v>4</v>
      </c>
      <c r="F113" s="461"/>
      <c r="G113" s="461"/>
      <c r="H113" s="461"/>
      <c r="J113" s="460">
        <f>E113-1</f>
        <v>3</v>
      </c>
      <c r="O113" s="460">
        <f>J113-1</f>
        <v>2</v>
      </c>
      <c r="T113" s="460">
        <f>O113-1</f>
        <v>1</v>
      </c>
    </row>
    <row r="114" spans="2:23" x14ac:dyDescent="0.3">
      <c r="B114" s="1"/>
      <c r="C114" s="1"/>
      <c r="D114" s="1"/>
      <c r="E114" s="1"/>
      <c r="F114" s="1"/>
      <c r="G114" s="1"/>
      <c r="H114" s="1"/>
      <c r="I114" s="1"/>
      <c r="J114" s="1"/>
      <c r="K114" s="1"/>
      <c r="L114" s="1"/>
      <c r="M114" s="1"/>
      <c r="N114" s="1"/>
      <c r="O114" s="1"/>
      <c r="P114" s="1"/>
      <c r="Q114" s="1"/>
      <c r="R114" s="1"/>
    </row>
    <row r="115" spans="2:23" x14ac:dyDescent="0.3">
      <c r="B115" s="362" t="s">
        <v>341</v>
      </c>
      <c r="C115" s="1"/>
      <c r="D115" s="1"/>
      <c r="E115" s="1"/>
      <c r="F115" s="1"/>
      <c r="G115" s="1"/>
      <c r="H115" s="1"/>
      <c r="I115" s="1"/>
      <c r="J115" s="1"/>
      <c r="K115" s="1"/>
      <c r="L115" s="1"/>
      <c r="M115" s="1"/>
      <c r="N115" s="1"/>
      <c r="O115" s="1"/>
      <c r="P115" s="1"/>
      <c r="Q115" s="1"/>
      <c r="R115" s="1"/>
    </row>
    <row r="116" spans="2:23" x14ac:dyDescent="0.3">
      <c r="B116" s="362"/>
      <c r="C116" s="1"/>
      <c r="D116" s="1"/>
      <c r="E116" s="1"/>
      <c r="F116" s="1"/>
      <c r="G116" s="1"/>
      <c r="H116" s="1"/>
      <c r="I116" s="1"/>
      <c r="J116" s="1"/>
      <c r="K116" s="1"/>
      <c r="L116" s="1"/>
      <c r="M116" s="1"/>
      <c r="N116" s="1"/>
      <c r="O116" s="1"/>
      <c r="P116" s="1"/>
      <c r="Q116" s="1"/>
      <c r="R116" s="1"/>
    </row>
    <row r="117" spans="2:23" x14ac:dyDescent="0.3">
      <c r="B117" s="1"/>
      <c r="C117" s="1"/>
      <c r="D117" s="8"/>
      <c r="E117" s="8"/>
      <c r="F117" s="8"/>
      <c r="G117" s="8"/>
      <c r="H117" s="8"/>
      <c r="I117" s="1"/>
      <c r="J117" s="42"/>
      <c r="K117" s="1"/>
      <c r="L117" s="1"/>
      <c r="O117" s="1"/>
      <c r="P117" s="1"/>
      <c r="Q117" s="1"/>
      <c r="W117" s="255" t="s">
        <v>10</v>
      </c>
    </row>
    <row r="118" spans="2:23" ht="15" customHeight="1" x14ac:dyDescent="0.3">
      <c r="B118" s="1639" t="s">
        <v>340</v>
      </c>
      <c r="C118" s="1639" t="s">
        <v>38</v>
      </c>
      <c r="D118" s="1759" t="s">
        <v>505</v>
      </c>
      <c r="E118" s="1760"/>
      <c r="F118" s="1760"/>
      <c r="G118" s="1760"/>
      <c r="H118" s="1761"/>
      <c r="I118" s="1762" t="s">
        <v>506</v>
      </c>
      <c r="J118" s="1762"/>
      <c r="K118" s="1762"/>
      <c r="L118" s="1762"/>
      <c r="M118" s="1762"/>
      <c r="N118" s="1758" t="s">
        <v>507</v>
      </c>
      <c r="O118" s="1758"/>
      <c r="P118" s="1758"/>
      <c r="Q118" s="1758"/>
      <c r="R118" s="1758"/>
      <c r="S118" s="1758" t="s">
        <v>1067</v>
      </c>
      <c r="T118" s="1758"/>
      <c r="U118" s="1758"/>
      <c r="V118" s="1758"/>
      <c r="W118" s="1758"/>
    </row>
    <row r="119" spans="2:23" x14ac:dyDescent="0.3">
      <c r="B119" s="1639"/>
      <c r="C119" s="1639"/>
      <c r="D119" s="1764" t="s">
        <v>7</v>
      </c>
      <c r="E119" s="1765"/>
      <c r="F119" s="1765"/>
      <c r="G119" s="1765"/>
      <c r="H119" s="1765"/>
      <c r="I119" s="1764" t="s">
        <v>7</v>
      </c>
      <c r="J119" s="1765"/>
      <c r="K119" s="1765"/>
      <c r="L119" s="1765"/>
      <c r="M119" s="1765"/>
      <c r="N119" s="1762" t="s">
        <v>12</v>
      </c>
      <c r="O119" s="1763"/>
      <c r="P119" s="1763"/>
      <c r="Q119" s="1763"/>
      <c r="R119" s="1763"/>
      <c r="S119" s="1762" t="s">
        <v>21</v>
      </c>
      <c r="T119" s="1763"/>
      <c r="U119" s="1763"/>
      <c r="V119" s="1763"/>
      <c r="W119" s="1763"/>
    </row>
    <row r="120" spans="2:23" ht="42" x14ac:dyDescent="0.3">
      <c r="B120" s="1639"/>
      <c r="C120" s="1639"/>
      <c r="D120" s="363" t="s">
        <v>267</v>
      </c>
      <c r="E120" s="363" t="s">
        <v>268</v>
      </c>
      <c r="F120" s="259" t="s">
        <v>274</v>
      </c>
      <c r="G120" s="361" t="s">
        <v>586</v>
      </c>
      <c r="H120" s="363" t="s">
        <v>270</v>
      </c>
      <c r="I120" s="645" t="s">
        <v>267</v>
      </c>
      <c r="J120" s="645" t="s">
        <v>268</v>
      </c>
      <c r="K120" s="259" t="s">
        <v>274</v>
      </c>
      <c r="L120" s="640" t="s">
        <v>586</v>
      </c>
      <c r="M120" s="645" t="s">
        <v>270</v>
      </c>
      <c r="N120" s="363" t="s">
        <v>267</v>
      </c>
      <c r="O120" s="363" t="s">
        <v>268</v>
      </c>
      <c r="P120" s="259" t="s">
        <v>274</v>
      </c>
      <c r="Q120" s="361" t="s">
        <v>586</v>
      </c>
      <c r="R120" s="363" t="s">
        <v>270</v>
      </c>
      <c r="S120" s="363" t="s">
        <v>267</v>
      </c>
      <c r="T120" s="363" t="s">
        <v>268</v>
      </c>
      <c r="U120" s="259" t="s">
        <v>274</v>
      </c>
      <c r="V120" s="361" t="s">
        <v>586</v>
      </c>
      <c r="W120" s="363" t="s">
        <v>270</v>
      </c>
    </row>
    <row r="121" spans="2:23" ht="28" x14ac:dyDescent="0.3">
      <c r="B121" s="256"/>
      <c r="C121" s="256"/>
      <c r="D121" s="256" t="s">
        <v>82</v>
      </c>
      <c r="E121" s="256" t="s">
        <v>83</v>
      </c>
      <c r="F121" s="256" t="s">
        <v>459</v>
      </c>
      <c r="G121" s="256" t="s">
        <v>391</v>
      </c>
      <c r="H121" s="256" t="s">
        <v>587</v>
      </c>
      <c r="I121" s="256" t="s">
        <v>409</v>
      </c>
      <c r="J121" s="256" t="s">
        <v>508</v>
      </c>
      <c r="K121" s="256" t="s">
        <v>410</v>
      </c>
      <c r="L121" s="256" t="s">
        <v>411</v>
      </c>
      <c r="M121" s="256" t="s">
        <v>652</v>
      </c>
      <c r="N121" s="256" t="s">
        <v>594</v>
      </c>
      <c r="O121" s="256" t="s">
        <v>595</v>
      </c>
      <c r="P121" s="256" t="s">
        <v>596</v>
      </c>
      <c r="Q121" s="256" t="s">
        <v>655</v>
      </c>
      <c r="R121" s="256" t="s">
        <v>656</v>
      </c>
      <c r="S121" s="256" t="s">
        <v>657</v>
      </c>
      <c r="T121" s="256" t="s">
        <v>658</v>
      </c>
      <c r="U121" s="256" t="s">
        <v>659</v>
      </c>
      <c r="V121" s="256" t="s">
        <v>660</v>
      </c>
      <c r="W121" s="256" t="s">
        <v>661</v>
      </c>
    </row>
    <row r="122" spans="2:23" x14ac:dyDescent="0.3">
      <c r="B122" s="90">
        <v>1</v>
      </c>
      <c r="C122" s="432" t="s">
        <v>845</v>
      </c>
      <c r="D122" s="346">
        <f>D14-D68</f>
        <v>3.4063698999999996</v>
      </c>
      <c r="E122" s="346">
        <f>E14-E68</f>
        <v>0</v>
      </c>
      <c r="F122" s="346">
        <f>F14-F68</f>
        <v>0</v>
      </c>
      <c r="G122" s="346">
        <f>G14-G68</f>
        <v>0</v>
      </c>
      <c r="H122" s="346">
        <f>D122+E122-F122-G122</f>
        <v>3.4063698999999996</v>
      </c>
      <c r="I122" s="346">
        <f t="shared" ref="I122:L133" si="66">I14-I68</f>
        <v>3.4063698999999996</v>
      </c>
      <c r="J122" s="346">
        <f t="shared" si="66"/>
        <v>0.19434199999999999</v>
      </c>
      <c r="K122" s="346">
        <f t="shared" si="66"/>
        <v>0</v>
      </c>
      <c r="L122" s="346">
        <f t="shared" si="66"/>
        <v>0</v>
      </c>
      <c r="M122" s="343">
        <f>I122+J122-K122-L122</f>
        <v>3.6007118999999994</v>
      </c>
      <c r="N122" s="346">
        <f t="shared" ref="N122:Q138" si="67">N14-N68</f>
        <v>3.6007118999999994</v>
      </c>
      <c r="O122" s="346">
        <f t="shared" si="67"/>
        <v>0</v>
      </c>
      <c r="P122" s="346">
        <f t="shared" si="67"/>
        <v>0</v>
      </c>
      <c r="Q122" s="346">
        <f t="shared" si="67"/>
        <v>0</v>
      </c>
      <c r="R122" s="346">
        <f>N122+O122-P122-Q122</f>
        <v>3.6007118999999994</v>
      </c>
      <c r="S122" s="346">
        <f t="shared" ref="S122:V138" si="68">S14-S68</f>
        <v>3.6007118999999994</v>
      </c>
      <c r="T122" s="346">
        <f t="shared" si="68"/>
        <v>0</v>
      </c>
      <c r="U122" s="346">
        <f t="shared" si="68"/>
        <v>0</v>
      </c>
      <c r="V122" s="346">
        <f t="shared" si="68"/>
        <v>0</v>
      </c>
      <c r="W122" s="343">
        <f>S122+T122-U122-V122</f>
        <v>3.6007118999999994</v>
      </c>
    </row>
    <row r="123" spans="2:23" x14ac:dyDescent="0.3">
      <c r="B123" s="90">
        <f>B122+1</f>
        <v>2</v>
      </c>
      <c r="C123" s="432" t="s">
        <v>846</v>
      </c>
      <c r="D123" s="346">
        <f t="shared" ref="D123:G133" si="69">D15-D69</f>
        <v>1.9518517318752409</v>
      </c>
      <c r="E123" s="346">
        <f t="shared" si="69"/>
        <v>-3.242869076206626E-2</v>
      </c>
      <c r="F123" s="346">
        <f t="shared" si="69"/>
        <v>0</v>
      </c>
      <c r="G123" s="346">
        <f t="shared" si="69"/>
        <v>0</v>
      </c>
      <c r="H123" s="346">
        <f t="shared" ref="H123:H133" si="70">D123+E123-F123-G123</f>
        <v>1.9194230411131745</v>
      </c>
      <c r="I123" s="346">
        <f t="shared" si="66"/>
        <v>1.9194230411131734</v>
      </c>
      <c r="J123" s="346">
        <f t="shared" si="66"/>
        <v>-9.265340217733049E-3</v>
      </c>
      <c r="K123" s="346">
        <f t="shared" si="66"/>
        <v>0</v>
      </c>
      <c r="L123" s="346">
        <f t="shared" si="66"/>
        <v>0</v>
      </c>
      <c r="M123" s="343">
        <f t="shared" ref="M123:M133" si="71">I123+J123-K123-L123</f>
        <v>1.9101577008954405</v>
      </c>
      <c r="N123" s="346">
        <f t="shared" si="67"/>
        <v>1.9101577008954393</v>
      </c>
      <c r="O123" s="346">
        <f t="shared" si="67"/>
        <v>-9.265340217732879E-3</v>
      </c>
      <c r="P123" s="346">
        <f t="shared" si="67"/>
        <v>0</v>
      </c>
      <c r="Q123" s="346">
        <f t="shared" si="67"/>
        <v>0</v>
      </c>
      <c r="R123" s="346">
        <f t="shared" ref="R123:R133" si="72">N123+O123-P123-Q123</f>
        <v>1.9008923606777064</v>
      </c>
      <c r="S123" s="346">
        <f t="shared" si="68"/>
        <v>1.9008923606777053</v>
      </c>
      <c r="T123" s="747">
        <f t="shared" si="68"/>
        <v>-9.2653402177326431E-3</v>
      </c>
      <c r="U123" s="346">
        <f t="shared" si="68"/>
        <v>0</v>
      </c>
      <c r="V123" s="346">
        <f t="shared" si="68"/>
        <v>0</v>
      </c>
      <c r="W123" s="343">
        <f t="shared" ref="W123:W133" si="73">S123+T123-U123-V123</f>
        <v>1.8916270204599726</v>
      </c>
    </row>
    <row r="124" spans="2:23" x14ac:dyDescent="0.3">
      <c r="B124" s="90">
        <f t="shared" ref="B124:B138" si="74">B123+1</f>
        <v>3</v>
      </c>
      <c r="C124" s="432" t="s">
        <v>847</v>
      </c>
      <c r="D124" s="346">
        <f t="shared" si="69"/>
        <v>0</v>
      </c>
      <c r="E124" s="346">
        <f t="shared" si="69"/>
        <v>0</v>
      </c>
      <c r="F124" s="346">
        <f t="shared" si="69"/>
        <v>0</v>
      </c>
      <c r="G124" s="346">
        <f t="shared" si="69"/>
        <v>0</v>
      </c>
      <c r="H124" s="346">
        <f t="shared" si="70"/>
        <v>0</v>
      </c>
      <c r="I124" s="346">
        <f t="shared" si="66"/>
        <v>0</v>
      </c>
      <c r="J124" s="346">
        <f t="shared" si="66"/>
        <v>0</v>
      </c>
      <c r="K124" s="346">
        <f t="shared" si="66"/>
        <v>0</v>
      </c>
      <c r="L124" s="346">
        <f t="shared" si="66"/>
        <v>0</v>
      </c>
      <c r="M124" s="343">
        <f t="shared" si="71"/>
        <v>0</v>
      </c>
      <c r="N124" s="346">
        <f t="shared" si="67"/>
        <v>0</v>
      </c>
      <c r="O124" s="346">
        <f t="shared" si="67"/>
        <v>0</v>
      </c>
      <c r="P124" s="346">
        <f t="shared" si="67"/>
        <v>0</v>
      </c>
      <c r="Q124" s="346">
        <f t="shared" si="67"/>
        <v>0</v>
      </c>
      <c r="R124" s="346">
        <f t="shared" si="72"/>
        <v>0</v>
      </c>
      <c r="S124" s="346">
        <f t="shared" si="68"/>
        <v>0</v>
      </c>
      <c r="T124" s="346">
        <f t="shared" si="68"/>
        <v>0</v>
      </c>
      <c r="U124" s="346">
        <f t="shared" si="68"/>
        <v>0</v>
      </c>
      <c r="V124" s="346">
        <f t="shared" si="68"/>
        <v>0</v>
      </c>
      <c r="W124" s="343">
        <f t="shared" si="73"/>
        <v>0</v>
      </c>
    </row>
    <row r="125" spans="2:23" x14ac:dyDescent="0.3">
      <c r="B125" s="90">
        <f t="shared" si="74"/>
        <v>4</v>
      </c>
      <c r="C125" s="432" t="s">
        <v>848</v>
      </c>
      <c r="D125" s="346">
        <f t="shared" si="69"/>
        <v>8.4267406846126676</v>
      </c>
      <c r="E125" s="346">
        <f t="shared" si="69"/>
        <v>-0.53915846153755587</v>
      </c>
      <c r="F125" s="346">
        <f t="shared" si="69"/>
        <v>0</v>
      </c>
      <c r="G125" s="346">
        <f t="shared" si="69"/>
        <v>0</v>
      </c>
      <c r="H125" s="346">
        <f t="shared" si="70"/>
        <v>7.8875822230751114</v>
      </c>
      <c r="I125" s="346">
        <f t="shared" si="66"/>
        <v>7.887582223075114</v>
      </c>
      <c r="J125" s="346">
        <f t="shared" si="66"/>
        <v>-0.15404527472501631</v>
      </c>
      <c r="K125" s="346">
        <f t="shared" si="66"/>
        <v>0</v>
      </c>
      <c r="L125" s="346">
        <f t="shared" si="66"/>
        <v>0</v>
      </c>
      <c r="M125" s="343">
        <f t="shared" si="71"/>
        <v>7.733536948350098</v>
      </c>
      <c r="N125" s="346">
        <f t="shared" si="67"/>
        <v>7.7335369483500997</v>
      </c>
      <c r="O125" s="346">
        <f t="shared" si="67"/>
        <v>-0.15404527472501664</v>
      </c>
      <c r="P125" s="346">
        <f t="shared" si="67"/>
        <v>0</v>
      </c>
      <c r="Q125" s="346">
        <f t="shared" si="67"/>
        <v>0</v>
      </c>
      <c r="R125" s="346">
        <f t="shared" si="72"/>
        <v>7.5794916736250828</v>
      </c>
      <c r="S125" s="346">
        <f t="shared" si="68"/>
        <v>7.5794916736250855</v>
      </c>
      <c r="T125" s="346">
        <f t="shared" si="68"/>
        <v>-0.15404527472501711</v>
      </c>
      <c r="U125" s="346">
        <f t="shared" si="68"/>
        <v>0</v>
      </c>
      <c r="V125" s="346">
        <f t="shared" si="68"/>
        <v>0</v>
      </c>
      <c r="W125" s="343">
        <f t="shared" si="73"/>
        <v>7.4254463989000685</v>
      </c>
    </row>
    <row r="126" spans="2:23" x14ac:dyDescent="0.3">
      <c r="B126" s="90">
        <f t="shared" si="74"/>
        <v>5</v>
      </c>
      <c r="C126" s="432" t="s">
        <v>849</v>
      </c>
      <c r="D126" s="346">
        <f t="shared" si="69"/>
        <v>32.953133440223574</v>
      </c>
      <c r="E126" s="346">
        <f t="shared" si="69"/>
        <v>-2.8239063396000001</v>
      </c>
      <c r="F126" s="346">
        <f t="shared" si="69"/>
        <v>0</v>
      </c>
      <c r="G126" s="346">
        <f t="shared" si="69"/>
        <v>0</v>
      </c>
      <c r="H126" s="346">
        <f t="shared" si="70"/>
        <v>30.129227100623574</v>
      </c>
      <c r="I126" s="346">
        <f t="shared" si="66"/>
        <v>30.129227100623574</v>
      </c>
      <c r="J126" s="346">
        <f t="shared" si="66"/>
        <v>-3.0963453858033674</v>
      </c>
      <c r="K126" s="346">
        <f t="shared" si="66"/>
        <v>0</v>
      </c>
      <c r="L126" s="346">
        <f t="shared" si="66"/>
        <v>0</v>
      </c>
      <c r="M126" s="343">
        <f t="shared" si="71"/>
        <v>27.032881714820206</v>
      </c>
      <c r="N126" s="346">
        <f t="shared" si="67"/>
        <v>27.032881714820206</v>
      </c>
      <c r="O126" s="346">
        <f t="shared" si="67"/>
        <v>-3.0963453858033674</v>
      </c>
      <c r="P126" s="346">
        <f t="shared" si="67"/>
        <v>0</v>
      </c>
      <c r="Q126" s="346">
        <f t="shared" si="67"/>
        <v>0</v>
      </c>
      <c r="R126" s="346">
        <f t="shared" si="72"/>
        <v>23.936536329016839</v>
      </c>
      <c r="S126" s="346">
        <f t="shared" si="68"/>
        <v>23.936536329016839</v>
      </c>
      <c r="T126" s="346">
        <f t="shared" si="68"/>
        <v>-3.0963453858033674</v>
      </c>
      <c r="U126" s="346">
        <f t="shared" si="68"/>
        <v>0</v>
      </c>
      <c r="V126" s="346">
        <f t="shared" si="68"/>
        <v>0</v>
      </c>
      <c r="W126" s="343">
        <f t="shared" si="73"/>
        <v>20.840190943213472</v>
      </c>
    </row>
    <row r="127" spans="2:23" x14ac:dyDescent="0.3">
      <c r="B127" s="90">
        <f t="shared" si="74"/>
        <v>6</v>
      </c>
      <c r="C127" s="432" t="s">
        <v>256</v>
      </c>
      <c r="D127" s="346">
        <f t="shared" si="69"/>
        <v>43.700508112979946</v>
      </c>
      <c r="E127" s="346">
        <f t="shared" si="69"/>
        <v>-5.0847731768204953</v>
      </c>
      <c r="F127" s="346">
        <f t="shared" si="69"/>
        <v>0</v>
      </c>
      <c r="G127" s="346">
        <f t="shared" si="69"/>
        <v>0</v>
      </c>
      <c r="H127" s="346">
        <f t="shared" si="70"/>
        <v>38.615734936159448</v>
      </c>
      <c r="I127" s="346">
        <f t="shared" si="66"/>
        <v>38.615734936159441</v>
      </c>
      <c r="J127" s="346">
        <f t="shared" si="66"/>
        <v>-1.4527923362344259</v>
      </c>
      <c r="K127" s="346">
        <f t="shared" si="66"/>
        <v>0</v>
      </c>
      <c r="L127" s="346">
        <f t="shared" si="66"/>
        <v>0</v>
      </c>
      <c r="M127" s="343">
        <f t="shared" si="71"/>
        <v>37.162942599925017</v>
      </c>
      <c r="N127" s="346">
        <f t="shared" si="67"/>
        <v>37.162942599925003</v>
      </c>
      <c r="O127" s="346">
        <f t="shared" si="67"/>
        <v>3.2562076637655681</v>
      </c>
      <c r="P127" s="346">
        <f t="shared" si="67"/>
        <v>0</v>
      </c>
      <c r="Q127" s="346">
        <f t="shared" si="67"/>
        <v>0</v>
      </c>
      <c r="R127" s="346">
        <f t="shared" si="72"/>
        <v>40.419150263690568</v>
      </c>
      <c r="S127" s="346">
        <f t="shared" si="68"/>
        <v>40.419150263690597</v>
      </c>
      <c r="T127" s="346">
        <f t="shared" si="68"/>
        <v>-2.2837923362344328</v>
      </c>
      <c r="U127" s="346">
        <f t="shared" si="68"/>
        <v>0</v>
      </c>
      <c r="V127" s="346">
        <f t="shared" si="68"/>
        <v>0</v>
      </c>
      <c r="W127" s="343">
        <f t="shared" si="73"/>
        <v>38.135357927456162</v>
      </c>
    </row>
    <row r="128" spans="2:23" x14ac:dyDescent="0.3">
      <c r="B128" s="90">
        <f t="shared" si="74"/>
        <v>7</v>
      </c>
      <c r="C128" s="432" t="s">
        <v>850</v>
      </c>
      <c r="D128" s="346">
        <f t="shared" si="69"/>
        <v>1.9230140884310236</v>
      </c>
      <c r="E128" s="346">
        <f t="shared" si="69"/>
        <v>-0.45022007324979152</v>
      </c>
      <c r="F128" s="346">
        <f t="shared" si="69"/>
        <v>0</v>
      </c>
      <c r="G128" s="346">
        <f t="shared" si="69"/>
        <v>0</v>
      </c>
      <c r="H128" s="346">
        <f t="shared" si="70"/>
        <v>1.4727940151812322</v>
      </c>
      <c r="I128" s="346">
        <f t="shared" si="66"/>
        <v>1.4727940151812322</v>
      </c>
      <c r="J128" s="346">
        <f t="shared" si="66"/>
        <v>-0.45022007324979152</v>
      </c>
      <c r="K128" s="346">
        <f t="shared" si="66"/>
        <v>0</v>
      </c>
      <c r="L128" s="346">
        <f t="shared" si="66"/>
        <v>0</v>
      </c>
      <c r="M128" s="343">
        <f t="shared" si="71"/>
        <v>1.0225739419314408</v>
      </c>
      <c r="N128" s="346">
        <f t="shared" si="67"/>
        <v>1.0225739419314408</v>
      </c>
      <c r="O128" s="346">
        <f t="shared" si="67"/>
        <v>-0.45022007324979152</v>
      </c>
      <c r="P128" s="346">
        <f t="shared" si="67"/>
        <v>0</v>
      </c>
      <c r="Q128" s="346">
        <f t="shared" si="67"/>
        <v>0</v>
      </c>
      <c r="R128" s="346">
        <f t="shared" si="72"/>
        <v>0.57235386868164928</v>
      </c>
      <c r="S128" s="346">
        <f t="shared" si="68"/>
        <v>0.57235386868164939</v>
      </c>
      <c r="T128" s="346">
        <f t="shared" si="68"/>
        <v>-6.4446321153019695E-2</v>
      </c>
      <c r="U128" s="346">
        <f t="shared" si="68"/>
        <v>0</v>
      </c>
      <c r="V128" s="346">
        <f t="shared" si="68"/>
        <v>0</v>
      </c>
      <c r="W128" s="343">
        <f t="shared" si="73"/>
        <v>0.50790754752862965</v>
      </c>
    </row>
    <row r="129" spans="2:33" x14ac:dyDescent="0.3">
      <c r="B129" s="90">
        <f t="shared" si="74"/>
        <v>8</v>
      </c>
      <c r="C129" s="432" t="s">
        <v>851</v>
      </c>
      <c r="D129" s="346">
        <f t="shared" si="69"/>
        <v>5.6567312110193751E-2</v>
      </c>
      <c r="E129" s="346">
        <f t="shared" si="69"/>
        <v>-3.2436512591423002E-3</v>
      </c>
      <c r="F129" s="346">
        <f t="shared" si="69"/>
        <v>0</v>
      </c>
      <c r="G129" s="346">
        <f t="shared" si="69"/>
        <v>0</v>
      </c>
      <c r="H129" s="346">
        <f t="shared" si="70"/>
        <v>5.3323660851051453E-2</v>
      </c>
      <c r="I129" s="346">
        <f t="shared" si="66"/>
        <v>5.3323660851051453E-2</v>
      </c>
      <c r="J129" s="346">
        <f t="shared" si="66"/>
        <v>-3.2436512591423002E-3</v>
      </c>
      <c r="K129" s="346">
        <f t="shared" si="66"/>
        <v>0</v>
      </c>
      <c r="L129" s="346">
        <f t="shared" si="66"/>
        <v>0</v>
      </c>
      <c r="M129" s="343">
        <f t="shared" si="71"/>
        <v>5.0080009591909155E-2</v>
      </c>
      <c r="N129" s="346">
        <f t="shared" si="67"/>
        <v>5.0080009591909155E-2</v>
      </c>
      <c r="O129" s="346">
        <f t="shared" si="67"/>
        <v>-3.2436512591423002E-3</v>
      </c>
      <c r="P129" s="346">
        <f t="shared" si="67"/>
        <v>0</v>
      </c>
      <c r="Q129" s="346">
        <f t="shared" si="67"/>
        <v>0</v>
      </c>
      <c r="R129" s="346">
        <f t="shared" si="72"/>
        <v>4.6836358332766857E-2</v>
      </c>
      <c r="S129" s="346">
        <f t="shared" si="68"/>
        <v>4.683635833276685E-2</v>
      </c>
      <c r="T129" s="346">
        <f t="shared" si="68"/>
        <v>-3.2436512591423002E-3</v>
      </c>
      <c r="U129" s="346">
        <f t="shared" si="68"/>
        <v>0</v>
      </c>
      <c r="V129" s="346">
        <f t="shared" si="68"/>
        <v>0</v>
      </c>
      <c r="W129" s="343">
        <f t="shared" si="73"/>
        <v>4.3592707073624552E-2</v>
      </c>
    </row>
    <row r="130" spans="2:33" x14ac:dyDescent="0.3">
      <c r="B130" s="90">
        <f t="shared" si="74"/>
        <v>9</v>
      </c>
      <c r="C130" s="432" t="s">
        <v>852</v>
      </c>
      <c r="D130" s="346">
        <f t="shared" si="69"/>
        <v>-0.3910440176002814</v>
      </c>
      <c r="E130" s="346">
        <f t="shared" si="69"/>
        <v>0</v>
      </c>
      <c r="F130" s="346">
        <f t="shared" si="69"/>
        <v>0</v>
      </c>
      <c r="G130" s="346">
        <f t="shared" si="69"/>
        <v>0</v>
      </c>
      <c r="H130" s="346">
        <f t="shared" si="70"/>
        <v>-0.3910440176002814</v>
      </c>
      <c r="I130" s="346">
        <f t="shared" si="66"/>
        <v>-0.3910440176002814</v>
      </c>
      <c r="J130" s="346">
        <f t="shared" si="66"/>
        <v>0</v>
      </c>
      <c r="K130" s="346">
        <f t="shared" si="66"/>
        <v>0</v>
      </c>
      <c r="L130" s="346">
        <f t="shared" si="66"/>
        <v>0</v>
      </c>
      <c r="M130" s="343">
        <f t="shared" si="71"/>
        <v>-0.3910440176002814</v>
      </c>
      <c r="N130" s="346">
        <f t="shared" si="67"/>
        <v>-0.3910440176002814</v>
      </c>
      <c r="O130" s="346">
        <f t="shared" si="67"/>
        <v>0</v>
      </c>
      <c r="P130" s="346">
        <f t="shared" si="67"/>
        <v>0</v>
      </c>
      <c r="Q130" s="346">
        <f t="shared" si="67"/>
        <v>0</v>
      </c>
      <c r="R130" s="346">
        <f t="shared" si="72"/>
        <v>-0.3910440176002814</v>
      </c>
      <c r="S130" s="346">
        <f t="shared" si="68"/>
        <v>-0.3910440176002814</v>
      </c>
      <c r="T130" s="346">
        <f t="shared" si="68"/>
        <v>0</v>
      </c>
      <c r="U130" s="346">
        <f t="shared" si="68"/>
        <v>0</v>
      </c>
      <c r="V130" s="346">
        <f t="shared" si="68"/>
        <v>0</v>
      </c>
      <c r="W130" s="343">
        <f t="shared" si="73"/>
        <v>-0.3910440176002814</v>
      </c>
    </row>
    <row r="131" spans="2:33" x14ac:dyDescent="0.3">
      <c r="B131" s="90">
        <f t="shared" si="74"/>
        <v>10</v>
      </c>
      <c r="C131" s="432" t="s">
        <v>259</v>
      </c>
      <c r="D131" s="346">
        <f t="shared" si="69"/>
        <v>4.3663709999999911E-2</v>
      </c>
      <c r="E131" s="346">
        <f t="shared" si="69"/>
        <v>0</v>
      </c>
      <c r="F131" s="346">
        <f t="shared" si="69"/>
        <v>0</v>
      </c>
      <c r="G131" s="346">
        <f t="shared" si="69"/>
        <v>0</v>
      </c>
      <c r="H131" s="346">
        <f t="shared" si="70"/>
        <v>4.3663709999999911E-2</v>
      </c>
      <c r="I131" s="346">
        <f t="shared" si="66"/>
        <v>4.3663709999999911E-2</v>
      </c>
      <c r="J131" s="346">
        <f t="shared" si="66"/>
        <v>0</v>
      </c>
      <c r="K131" s="346">
        <f t="shared" si="66"/>
        <v>0</v>
      </c>
      <c r="L131" s="346">
        <f t="shared" si="66"/>
        <v>0</v>
      </c>
      <c r="M131" s="343">
        <f t="shared" si="71"/>
        <v>4.3663709999999911E-2</v>
      </c>
      <c r="N131" s="346">
        <f t="shared" si="67"/>
        <v>4.3663709999999911E-2</v>
      </c>
      <c r="O131" s="346">
        <f t="shared" si="67"/>
        <v>0</v>
      </c>
      <c r="P131" s="346">
        <f t="shared" si="67"/>
        <v>0</v>
      </c>
      <c r="Q131" s="346">
        <f t="shared" si="67"/>
        <v>0</v>
      </c>
      <c r="R131" s="346">
        <f t="shared" si="72"/>
        <v>4.3663709999999911E-2</v>
      </c>
      <c r="S131" s="346">
        <f t="shared" si="68"/>
        <v>4.3663709999999911E-2</v>
      </c>
      <c r="T131" s="346">
        <f t="shared" si="68"/>
        <v>0</v>
      </c>
      <c r="U131" s="346">
        <f t="shared" si="68"/>
        <v>0</v>
      </c>
      <c r="V131" s="346">
        <f t="shared" si="68"/>
        <v>0</v>
      </c>
      <c r="W131" s="343">
        <f t="shared" si="73"/>
        <v>4.3663709999999911E-2</v>
      </c>
    </row>
    <row r="132" spans="2:33" x14ac:dyDescent="0.3">
      <c r="B132" s="90">
        <f t="shared" si="74"/>
        <v>11</v>
      </c>
      <c r="C132" s="432" t="s">
        <v>260</v>
      </c>
      <c r="D132" s="346">
        <f t="shared" si="69"/>
        <v>7.6920207934257911E-2</v>
      </c>
      <c r="E132" s="346">
        <f t="shared" si="69"/>
        <v>-2.6865650342708077E-4</v>
      </c>
      <c r="F132" s="346">
        <f t="shared" si="69"/>
        <v>0</v>
      </c>
      <c r="G132" s="346">
        <f t="shared" si="69"/>
        <v>0</v>
      </c>
      <c r="H132" s="346">
        <f t="shared" si="70"/>
        <v>7.6651551430830828E-2</v>
      </c>
      <c r="I132" s="346">
        <f t="shared" si="66"/>
        <v>7.66515514308308E-2</v>
      </c>
      <c r="J132" s="346">
        <f t="shared" si="66"/>
        <v>0.17948100837044945</v>
      </c>
      <c r="K132" s="346">
        <f t="shared" si="66"/>
        <v>0</v>
      </c>
      <c r="L132" s="346">
        <f t="shared" si="66"/>
        <v>0</v>
      </c>
      <c r="M132" s="343">
        <f t="shared" si="71"/>
        <v>0.25613255980128025</v>
      </c>
      <c r="N132" s="346">
        <f t="shared" si="67"/>
        <v>0.25613255980128014</v>
      </c>
      <c r="O132" s="346">
        <f t="shared" si="67"/>
        <v>4.4833452370449445E-2</v>
      </c>
      <c r="P132" s="346">
        <f t="shared" si="67"/>
        <v>0</v>
      </c>
      <c r="Q132" s="346">
        <f t="shared" si="67"/>
        <v>0</v>
      </c>
      <c r="R132" s="346">
        <f t="shared" si="72"/>
        <v>0.30096601217172958</v>
      </c>
      <c r="S132" s="346">
        <f t="shared" si="68"/>
        <v>0.30096601217172958</v>
      </c>
      <c r="T132" s="346">
        <f t="shared" si="68"/>
        <v>-4.0519347629550562E-2</v>
      </c>
      <c r="U132" s="346">
        <f t="shared" si="68"/>
        <v>0</v>
      </c>
      <c r="V132" s="346">
        <f t="shared" si="68"/>
        <v>0</v>
      </c>
      <c r="W132" s="343">
        <f t="shared" si="73"/>
        <v>0.26044666454217902</v>
      </c>
    </row>
    <row r="133" spans="2:33" x14ac:dyDescent="0.3">
      <c r="B133" s="90">
        <f t="shared" si="74"/>
        <v>12</v>
      </c>
      <c r="C133" s="432" t="s">
        <v>261</v>
      </c>
      <c r="D133" s="346">
        <f t="shared" si="69"/>
        <v>0.85878209623181401</v>
      </c>
      <c r="E133" s="346">
        <f t="shared" si="69"/>
        <v>-0.13911228711053494</v>
      </c>
      <c r="F133" s="346">
        <f t="shared" si="69"/>
        <v>0</v>
      </c>
      <c r="G133" s="346">
        <f t="shared" si="69"/>
        <v>0</v>
      </c>
      <c r="H133" s="346">
        <f t="shared" si="70"/>
        <v>0.71966980912127909</v>
      </c>
      <c r="I133" s="346">
        <f t="shared" si="66"/>
        <v>0.71966980912127898</v>
      </c>
      <c r="J133" s="346">
        <f t="shared" si="66"/>
        <v>-7.1414737545302351E-2</v>
      </c>
      <c r="K133" s="346">
        <f t="shared" si="66"/>
        <v>0</v>
      </c>
      <c r="L133" s="346">
        <f t="shared" si="66"/>
        <v>0</v>
      </c>
      <c r="M133" s="343">
        <f t="shared" si="71"/>
        <v>0.64825507157597662</v>
      </c>
      <c r="N133" s="346">
        <f t="shared" si="67"/>
        <v>0.64825507157597673</v>
      </c>
      <c r="O133" s="346">
        <f t="shared" si="67"/>
        <v>-7.1414737545302365E-2</v>
      </c>
      <c r="P133" s="346">
        <f t="shared" si="67"/>
        <v>0</v>
      </c>
      <c r="Q133" s="346">
        <f t="shared" si="67"/>
        <v>0</v>
      </c>
      <c r="R133" s="346">
        <f t="shared" si="72"/>
        <v>0.57684033403067436</v>
      </c>
      <c r="S133" s="346">
        <f t="shared" si="68"/>
        <v>0.57684033403067447</v>
      </c>
      <c r="T133" s="346">
        <f t="shared" si="68"/>
        <v>-7.1414737545302392E-2</v>
      </c>
      <c r="U133" s="346">
        <f t="shared" si="68"/>
        <v>0</v>
      </c>
      <c r="V133" s="346">
        <f t="shared" si="68"/>
        <v>0</v>
      </c>
      <c r="W133" s="343">
        <f t="shared" si="73"/>
        <v>0.50542559648537211</v>
      </c>
    </row>
    <row r="134" spans="2:33" x14ac:dyDescent="0.3">
      <c r="B134" s="90">
        <f t="shared" si="74"/>
        <v>13</v>
      </c>
      <c r="C134" s="450" t="s">
        <v>899</v>
      </c>
      <c r="D134" s="346">
        <f t="shared" ref="D134:G134" si="75">D26-D80</f>
        <v>0</v>
      </c>
      <c r="E134" s="346">
        <f t="shared" si="75"/>
        <v>0</v>
      </c>
      <c r="F134" s="346">
        <f t="shared" si="75"/>
        <v>0</v>
      </c>
      <c r="G134" s="346">
        <f t="shared" si="75"/>
        <v>0</v>
      </c>
      <c r="H134" s="346">
        <f t="shared" ref="H134:H138" si="76">D134+E134-F134-G134</f>
        <v>0</v>
      </c>
      <c r="I134" s="346">
        <f t="shared" ref="I134:L134" si="77">I26-I80</f>
        <v>0</v>
      </c>
      <c r="J134" s="346">
        <f t="shared" si="77"/>
        <v>0</v>
      </c>
      <c r="K134" s="346">
        <f t="shared" si="77"/>
        <v>0</v>
      </c>
      <c r="L134" s="346">
        <f t="shared" si="77"/>
        <v>0</v>
      </c>
      <c r="M134" s="343">
        <f t="shared" ref="M134:M138" si="78">I134+J134-K134-L134</f>
        <v>0</v>
      </c>
      <c r="N134" s="346">
        <f t="shared" si="67"/>
        <v>0</v>
      </c>
      <c r="O134" s="346">
        <f t="shared" si="67"/>
        <v>0</v>
      </c>
      <c r="P134" s="346">
        <f t="shared" si="67"/>
        <v>0</v>
      </c>
      <c r="Q134" s="346">
        <f t="shared" si="67"/>
        <v>0</v>
      </c>
      <c r="R134" s="346">
        <f t="shared" ref="R134:R138" si="79">N134+O134-P134-Q134</f>
        <v>0</v>
      </c>
      <c r="S134" s="346">
        <f t="shared" si="68"/>
        <v>0</v>
      </c>
      <c r="T134" s="346">
        <f t="shared" si="68"/>
        <v>0</v>
      </c>
      <c r="U134" s="346">
        <f t="shared" si="68"/>
        <v>0</v>
      </c>
      <c r="V134" s="346">
        <f t="shared" si="68"/>
        <v>0</v>
      </c>
      <c r="W134" s="343">
        <f t="shared" ref="W134:W138" si="80">S134+T134-U134-V134</f>
        <v>0</v>
      </c>
    </row>
    <row r="135" spans="2:33" x14ac:dyDescent="0.3">
      <c r="B135" s="90">
        <f t="shared" si="74"/>
        <v>14</v>
      </c>
      <c r="C135" s="450" t="s">
        <v>900</v>
      </c>
      <c r="D135" s="346">
        <f t="shared" ref="D135:G135" si="81">D27-D81</f>
        <v>0</v>
      </c>
      <c r="E135" s="346">
        <f t="shared" si="81"/>
        <v>0.23944828795</v>
      </c>
      <c r="F135" s="346">
        <f t="shared" si="81"/>
        <v>0.28014050000000001</v>
      </c>
      <c r="G135" s="346">
        <f t="shared" si="81"/>
        <v>0</v>
      </c>
      <c r="H135" s="346">
        <f t="shared" si="76"/>
        <v>-4.069221205000001E-2</v>
      </c>
      <c r="I135" s="346">
        <f t="shared" ref="I135:L135" si="82">I27-I81</f>
        <v>-4.069221205000001E-2</v>
      </c>
      <c r="J135" s="346">
        <f t="shared" si="82"/>
        <v>9.1020954000000012E-3</v>
      </c>
      <c r="K135" s="346">
        <f t="shared" si="82"/>
        <v>0</v>
      </c>
      <c r="L135" s="346">
        <f t="shared" si="82"/>
        <v>0</v>
      </c>
      <c r="M135" s="343">
        <f t="shared" si="78"/>
        <v>-3.1590116650000007E-2</v>
      </c>
      <c r="N135" s="346">
        <f t="shared" si="67"/>
        <v>-3.1590116650000014E-2</v>
      </c>
      <c r="O135" s="346">
        <f t="shared" si="67"/>
        <v>2.2331679000000019E-3</v>
      </c>
      <c r="P135" s="346">
        <f t="shared" si="67"/>
        <v>0</v>
      </c>
      <c r="Q135" s="346">
        <f t="shared" si="67"/>
        <v>0</v>
      </c>
      <c r="R135" s="346">
        <f t="shared" si="79"/>
        <v>-2.9356948750000011E-2</v>
      </c>
      <c r="S135" s="346">
        <f t="shared" si="68"/>
        <v>-2.9356948750000007E-2</v>
      </c>
      <c r="T135" s="346">
        <f t="shared" si="68"/>
        <v>2.2331679000000019E-3</v>
      </c>
      <c r="U135" s="346">
        <f t="shared" si="68"/>
        <v>0</v>
      </c>
      <c r="V135" s="346">
        <f t="shared" si="68"/>
        <v>0</v>
      </c>
      <c r="W135" s="343">
        <f t="shared" si="80"/>
        <v>-2.7123780850000005E-2</v>
      </c>
    </row>
    <row r="136" spans="2:33" x14ac:dyDescent="0.3">
      <c r="B136" s="90">
        <f t="shared" si="74"/>
        <v>15</v>
      </c>
      <c r="C136" s="450" t="s">
        <v>901</v>
      </c>
      <c r="D136" s="346">
        <f t="shared" ref="D136:G136" si="83">D28-D82</f>
        <v>0</v>
      </c>
      <c r="E136" s="346">
        <f t="shared" si="83"/>
        <v>0</v>
      </c>
      <c r="F136" s="346">
        <f t="shared" si="83"/>
        <v>0</v>
      </c>
      <c r="G136" s="346">
        <f t="shared" si="83"/>
        <v>0</v>
      </c>
      <c r="H136" s="346">
        <f t="shared" si="76"/>
        <v>0</v>
      </c>
      <c r="I136" s="346">
        <f t="shared" ref="I136:L136" si="84">I28-I82</f>
        <v>0</v>
      </c>
      <c r="J136" s="346">
        <f t="shared" si="84"/>
        <v>0</v>
      </c>
      <c r="K136" s="346">
        <f t="shared" si="84"/>
        <v>0</v>
      </c>
      <c r="L136" s="346">
        <f t="shared" si="84"/>
        <v>0</v>
      </c>
      <c r="M136" s="343">
        <f t="shared" si="78"/>
        <v>0</v>
      </c>
      <c r="N136" s="346">
        <f t="shared" si="67"/>
        <v>0</v>
      </c>
      <c r="O136" s="346">
        <f t="shared" si="67"/>
        <v>0</v>
      </c>
      <c r="P136" s="346">
        <f t="shared" si="67"/>
        <v>0</v>
      </c>
      <c r="Q136" s="346">
        <f t="shared" si="67"/>
        <v>0</v>
      </c>
      <c r="R136" s="346">
        <f t="shared" si="79"/>
        <v>0</v>
      </c>
      <c r="S136" s="346">
        <f t="shared" si="68"/>
        <v>0</v>
      </c>
      <c r="T136" s="346">
        <f t="shared" si="68"/>
        <v>0</v>
      </c>
      <c r="U136" s="346">
        <f t="shared" si="68"/>
        <v>0</v>
      </c>
      <c r="V136" s="346">
        <f t="shared" si="68"/>
        <v>0</v>
      </c>
      <c r="W136" s="343">
        <f t="shared" si="80"/>
        <v>0</v>
      </c>
    </row>
    <row r="137" spans="2:33" x14ac:dyDescent="0.3">
      <c r="B137" s="90">
        <f t="shared" si="74"/>
        <v>16</v>
      </c>
      <c r="C137" s="450" t="s">
        <v>853</v>
      </c>
      <c r="D137" s="346">
        <f t="shared" ref="D137:G137" si="85">D29-D83</f>
        <v>0</v>
      </c>
      <c r="E137" s="346">
        <f t="shared" si="85"/>
        <v>0</v>
      </c>
      <c r="F137" s="346">
        <f t="shared" si="85"/>
        <v>0</v>
      </c>
      <c r="G137" s="346">
        <f t="shared" si="85"/>
        <v>0</v>
      </c>
      <c r="H137" s="346">
        <f t="shared" si="76"/>
        <v>0</v>
      </c>
      <c r="I137" s="346">
        <f t="shared" ref="I137:L137" si="86">I29-I83</f>
        <v>0</v>
      </c>
      <c r="J137" s="346">
        <f t="shared" si="86"/>
        <v>0</v>
      </c>
      <c r="K137" s="346">
        <f t="shared" si="86"/>
        <v>0</v>
      </c>
      <c r="L137" s="346">
        <f t="shared" si="86"/>
        <v>0</v>
      </c>
      <c r="M137" s="343">
        <f t="shared" si="78"/>
        <v>0</v>
      </c>
      <c r="N137" s="346">
        <f t="shared" si="67"/>
        <v>0</v>
      </c>
      <c r="O137" s="346">
        <f t="shared" si="67"/>
        <v>0</v>
      </c>
      <c r="P137" s="346">
        <f t="shared" si="67"/>
        <v>0</v>
      </c>
      <c r="Q137" s="346">
        <f t="shared" si="67"/>
        <v>0</v>
      </c>
      <c r="R137" s="346">
        <f t="shared" si="79"/>
        <v>0</v>
      </c>
      <c r="S137" s="346">
        <f t="shared" si="68"/>
        <v>0</v>
      </c>
      <c r="T137" s="346">
        <f t="shared" si="68"/>
        <v>0</v>
      </c>
      <c r="U137" s="346">
        <f t="shared" si="68"/>
        <v>0</v>
      </c>
      <c r="V137" s="346">
        <f t="shared" si="68"/>
        <v>0</v>
      </c>
      <c r="W137" s="343">
        <f t="shared" si="80"/>
        <v>0</v>
      </c>
    </row>
    <row r="138" spans="2:33" x14ac:dyDescent="0.3">
      <c r="B138" s="90">
        <f t="shared" si="74"/>
        <v>17</v>
      </c>
      <c r="C138" s="450" t="s">
        <v>902</v>
      </c>
      <c r="D138" s="346">
        <f t="shared" ref="D138:G138" si="87">D30-D84</f>
        <v>0</v>
      </c>
      <c r="E138" s="346">
        <f t="shared" si="87"/>
        <v>0</v>
      </c>
      <c r="F138" s="346">
        <f t="shared" si="87"/>
        <v>0</v>
      </c>
      <c r="G138" s="346">
        <f t="shared" si="87"/>
        <v>0</v>
      </c>
      <c r="H138" s="346">
        <f t="shared" si="76"/>
        <v>0</v>
      </c>
      <c r="I138" s="346">
        <f t="shared" ref="I138:L138" si="88">I30-I84</f>
        <v>0</v>
      </c>
      <c r="J138" s="346">
        <f t="shared" si="88"/>
        <v>0</v>
      </c>
      <c r="K138" s="346">
        <f t="shared" si="88"/>
        <v>0</v>
      </c>
      <c r="L138" s="346">
        <f t="shared" si="88"/>
        <v>0</v>
      </c>
      <c r="M138" s="343">
        <f t="shared" si="78"/>
        <v>0</v>
      </c>
      <c r="N138" s="346">
        <f t="shared" si="67"/>
        <v>0</v>
      </c>
      <c r="O138" s="346">
        <f t="shared" si="67"/>
        <v>0</v>
      </c>
      <c r="P138" s="346">
        <f t="shared" si="67"/>
        <v>0</v>
      </c>
      <c r="Q138" s="346">
        <f t="shared" si="67"/>
        <v>0</v>
      </c>
      <c r="R138" s="346">
        <f t="shared" si="79"/>
        <v>0</v>
      </c>
      <c r="S138" s="346">
        <f t="shared" si="68"/>
        <v>0</v>
      </c>
      <c r="T138" s="346">
        <f t="shared" si="68"/>
        <v>0</v>
      </c>
      <c r="U138" s="346">
        <f t="shared" si="68"/>
        <v>0</v>
      </c>
      <c r="V138" s="346">
        <f t="shared" si="68"/>
        <v>0</v>
      </c>
      <c r="W138" s="343">
        <f t="shared" si="80"/>
        <v>0</v>
      </c>
    </row>
    <row r="139" spans="2:33" ht="16" x14ac:dyDescent="0.3">
      <c r="B139" s="78"/>
      <c r="C139" s="92" t="s">
        <v>271</v>
      </c>
      <c r="D139" s="345">
        <f>SUM(D122:D137)</f>
        <v>93.006507266798451</v>
      </c>
      <c r="E139" s="345">
        <f t="shared" ref="E139:M139" si="89">SUM(E122:E137)</f>
        <v>-8.8336630488930155</v>
      </c>
      <c r="F139" s="345">
        <f t="shared" si="89"/>
        <v>0.28014050000000001</v>
      </c>
      <c r="G139" s="345">
        <f t="shared" si="89"/>
        <v>0</v>
      </c>
      <c r="H139" s="345">
        <f t="shared" si="89"/>
        <v>83.89270371790542</v>
      </c>
      <c r="I139" s="345">
        <f t="shared" si="89"/>
        <v>83.89270371790542</v>
      </c>
      <c r="J139" s="345">
        <f t="shared" si="89"/>
        <v>-4.854401695264329</v>
      </c>
      <c r="K139" s="345">
        <f t="shared" si="89"/>
        <v>0</v>
      </c>
      <c r="L139" s="345">
        <f t="shared" si="89"/>
        <v>0</v>
      </c>
      <c r="M139" s="345">
        <f t="shared" si="89"/>
        <v>79.038302022641105</v>
      </c>
      <c r="N139" s="345">
        <f t="shared" ref="N139:W139" si="90">SUM(N122:N137)</f>
        <v>79.038302022641091</v>
      </c>
      <c r="O139" s="345">
        <f t="shared" si="90"/>
        <v>-0.48126017876433563</v>
      </c>
      <c r="P139" s="345">
        <f t="shared" si="90"/>
        <v>0</v>
      </c>
      <c r="Q139" s="345">
        <f t="shared" si="90"/>
        <v>0</v>
      </c>
      <c r="R139" s="345">
        <f t="shared" si="90"/>
        <v>78.557041843876732</v>
      </c>
      <c r="S139" s="345">
        <f t="shared" si="90"/>
        <v>78.55704184387676</v>
      </c>
      <c r="T139" s="345">
        <f t="shared" si="90"/>
        <v>-5.7208392266675645</v>
      </c>
      <c r="U139" s="345">
        <f t="shared" si="90"/>
        <v>0</v>
      </c>
      <c r="V139" s="345">
        <f t="shared" si="90"/>
        <v>0</v>
      </c>
      <c r="W139" s="345">
        <f t="shared" si="90"/>
        <v>72.836202617209182</v>
      </c>
    </row>
    <row r="140" spans="2:33" ht="16" x14ac:dyDescent="0.3">
      <c r="B140" s="258"/>
      <c r="C140" s="260"/>
      <c r="D140" s="260"/>
      <c r="E140" s="260"/>
      <c r="F140" s="260"/>
      <c r="G140" s="260"/>
      <c r="H140" s="260"/>
      <c r="I140" s="258"/>
      <c r="J140" s="258"/>
      <c r="K140" s="258"/>
      <c r="L140" s="258"/>
      <c r="M140" s="258"/>
      <c r="N140" s="258"/>
      <c r="O140" s="258"/>
      <c r="P140" s="258"/>
      <c r="Q140" s="258"/>
      <c r="R140" s="258"/>
      <c r="S140" s="43"/>
      <c r="T140" s="43"/>
      <c r="U140" s="43"/>
      <c r="V140" s="43"/>
      <c r="W140" s="43"/>
      <c r="X140" s="43"/>
      <c r="Y140" s="43"/>
      <c r="Z140" s="43"/>
      <c r="AA140" s="43"/>
      <c r="AB140" s="43"/>
      <c r="AC140" s="43"/>
      <c r="AD140" s="43"/>
      <c r="AE140" s="43"/>
      <c r="AF140" s="43"/>
      <c r="AG140" s="43"/>
    </row>
    <row r="141" spans="2:33" ht="16" x14ac:dyDescent="0.3">
      <c r="B141" s="257" t="s">
        <v>599</v>
      </c>
      <c r="C141" s="262"/>
      <c r="D141" s="262"/>
      <c r="E141" s="262"/>
      <c r="F141" s="262"/>
      <c r="G141" s="260"/>
      <c r="H141" s="260"/>
      <c r="I141" s="258"/>
      <c r="J141" s="258"/>
      <c r="K141" s="258"/>
      <c r="L141" s="258"/>
      <c r="M141" s="258"/>
      <c r="N141" s="258"/>
      <c r="O141" s="258"/>
      <c r="P141" s="258"/>
      <c r="Q141" s="258"/>
      <c r="R141" s="258"/>
      <c r="S141" s="43"/>
      <c r="T141" s="43"/>
      <c r="U141" s="43"/>
      <c r="V141" s="43"/>
      <c r="W141" s="43"/>
      <c r="X141" s="43"/>
      <c r="Y141" s="43"/>
      <c r="Z141" s="43"/>
      <c r="AA141" s="43"/>
      <c r="AB141" s="43"/>
      <c r="AC141" s="43"/>
      <c r="AD141" s="43"/>
      <c r="AE141" s="43"/>
      <c r="AF141" s="43"/>
      <c r="AG141" s="43"/>
    </row>
    <row r="142" spans="2:33" ht="16" x14ac:dyDescent="0.3">
      <c r="B142" s="258"/>
      <c r="C142" s="260"/>
      <c r="D142" s="260"/>
      <c r="E142" s="260"/>
      <c r="F142" s="260"/>
      <c r="G142" s="260"/>
      <c r="H142" s="260"/>
      <c r="I142" s="258"/>
      <c r="J142" s="258"/>
      <c r="K142" s="258"/>
      <c r="L142" s="258"/>
      <c r="M142" s="258"/>
      <c r="N142" s="258"/>
      <c r="O142" s="258"/>
      <c r="P142" s="258"/>
      <c r="Q142" s="258"/>
      <c r="R142" s="258"/>
      <c r="S142" s="43"/>
      <c r="T142" s="43"/>
      <c r="U142" s="43"/>
      <c r="V142" s="43"/>
      <c r="W142" s="43"/>
      <c r="X142" s="43"/>
      <c r="Y142" s="43"/>
      <c r="Z142" s="43"/>
      <c r="AA142" s="43"/>
      <c r="AB142" s="43"/>
      <c r="AC142" s="43"/>
      <c r="AD142" s="43"/>
      <c r="AE142" s="43"/>
      <c r="AF142" s="43"/>
      <c r="AG142" s="43"/>
    </row>
    <row r="143" spans="2:33" ht="15" customHeight="1" x14ac:dyDescent="0.3">
      <c r="B143" s="258"/>
      <c r="C143" s="260"/>
      <c r="D143" s="8"/>
      <c r="E143" s="8"/>
      <c r="F143" s="8"/>
      <c r="G143" s="8"/>
      <c r="H143" s="8"/>
      <c r="I143" s="1"/>
      <c r="J143" s="42"/>
      <c r="K143" s="1"/>
      <c r="L143" s="1"/>
      <c r="M143" s="42"/>
      <c r="N143" s="42"/>
      <c r="O143" s="1"/>
      <c r="P143" s="1"/>
      <c r="Q143" s="1"/>
      <c r="AG143" s="255" t="s">
        <v>10</v>
      </c>
    </row>
    <row r="144" spans="2:33" ht="13.75" customHeight="1" x14ac:dyDescent="0.3">
      <c r="B144" s="1639" t="s">
        <v>340</v>
      </c>
      <c r="C144" s="1639" t="s">
        <v>38</v>
      </c>
      <c r="D144" s="1766" t="s">
        <v>1068</v>
      </c>
      <c r="E144" s="1767"/>
      <c r="F144" s="1767"/>
      <c r="G144" s="1767"/>
      <c r="H144" s="1768"/>
      <c r="I144" s="1766" t="s">
        <v>1069</v>
      </c>
      <c r="J144" s="1767"/>
      <c r="K144" s="1767"/>
      <c r="L144" s="1767"/>
      <c r="M144" s="1768"/>
      <c r="N144" s="1758" t="s">
        <v>1070</v>
      </c>
      <c r="O144" s="1758"/>
      <c r="P144" s="1758"/>
      <c r="Q144" s="1758"/>
      <c r="R144" s="1758"/>
      <c r="S144" s="1758" t="s">
        <v>1071</v>
      </c>
      <c r="T144" s="1758"/>
      <c r="U144" s="1758"/>
      <c r="V144" s="1758"/>
      <c r="W144" s="1758"/>
    </row>
    <row r="145" spans="2:23" x14ac:dyDescent="0.3">
      <c r="B145" s="1639"/>
      <c r="C145" s="1639"/>
      <c r="D145" s="1759" t="s">
        <v>21</v>
      </c>
      <c r="E145" s="1760"/>
      <c r="F145" s="1760"/>
      <c r="G145" s="1760"/>
      <c r="H145" s="1761"/>
      <c r="I145" s="1759" t="s">
        <v>21</v>
      </c>
      <c r="J145" s="1760"/>
      <c r="K145" s="1760"/>
      <c r="L145" s="1760"/>
      <c r="M145" s="1761"/>
      <c r="N145" s="1762" t="s">
        <v>21</v>
      </c>
      <c r="O145" s="1763"/>
      <c r="P145" s="1763"/>
      <c r="Q145" s="1763"/>
      <c r="R145" s="1763"/>
      <c r="S145" s="1762" t="s">
        <v>21</v>
      </c>
      <c r="T145" s="1763"/>
      <c r="U145" s="1763"/>
      <c r="V145" s="1763"/>
      <c r="W145" s="1763"/>
    </row>
    <row r="146" spans="2:23" ht="42" x14ac:dyDescent="0.3">
      <c r="B146" s="1639"/>
      <c r="C146" s="1639"/>
      <c r="D146" s="807" t="s">
        <v>267</v>
      </c>
      <c r="E146" s="807" t="s">
        <v>268</v>
      </c>
      <c r="F146" s="259" t="s">
        <v>274</v>
      </c>
      <c r="G146" s="806" t="s">
        <v>586</v>
      </c>
      <c r="H146" s="807" t="s">
        <v>270</v>
      </c>
      <c r="I146" s="807" t="s">
        <v>267</v>
      </c>
      <c r="J146" s="807" t="s">
        <v>268</v>
      </c>
      <c r="K146" s="807" t="s">
        <v>269</v>
      </c>
      <c r="L146" s="806" t="s">
        <v>586</v>
      </c>
      <c r="M146" s="807" t="s">
        <v>270</v>
      </c>
      <c r="N146" s="645" t="s">
        <v>267</v>
      </c>
      <c r="O146" s="645" t="s">
        <v>268</v>
      </c>
      <c r="P146" s="645" t="s">
        <v>269</v>
      </c>
      <c r="Q146" s="640" t="s">
        <v>586</v>
      </c>
      <c r="R146" s="645" t="s">
        <v>270</v>
      </c>
      <c r="S146" s="645" t="s">
        <v>267</v>
      </c>
      <c r="T146" s="645" t="s">
        <v>268</v>
      </c>
      <c r="U146" s="645" t="s">
        <v>269</v>
      </c>
      <c r="V146" s="640" t="s">
        <v>586</v>
      </c>
      <c r="W146" s="645" t="s">
        <v>270</v>
      </c>
    </row>
    <row r="147" spans="2:23" ht="28" x14ac:dyDescent="0.3">
      <c r="B147" s="256"/>
      <c r="C147" s="256"/>
      <c r="D147" s="256" t="s">
        <v>662</v>
      </c>
      <c r="E147" s="256" t="s">
        <v>663</v>
      </c>
      <c r="F147" s="256" t="s">
        <v>664</v>
      </c>
      <c r="G147" s="256" t="s">
        <v>665</v>
      </c>
      <c r="H147" s="256" t="s">
        <v>666</v>
      </c>
      <c r="I147" s="256" t="s">
        <v>662</v>
      </c>
      <c r="J147" s="256" t="s">
        <v>663</v>
      </c>
      <c r="K147" s="256" t="s">
        <v>664</v>
      </c>
      <c r="L147" s="256" t="s">
        <v>665</v>
      </c>
      <c r="M147" s="256" t="s">
        <v>666</v>
      </c>
      <c r="N147" s="256" t="s">
        <v>662</v>
      </c>
      <c r="O147" s="256" t="s">
        <v>663</v>
      </c>
      <c r="P147" s="256" t="s">
        <v>664</v>
      </c>
      <c r="Q147" s="256" t="s">
        <v>665</v>
      </c>
      <c r="R147" s="256" t="s">
        <v>666</v>
      </c>
      <c r="S147" s="256" t="s">
        <v>662</v>
      </c>
      <c r="T147" s="256" t="s">
        <v>663</v>
      </c>
      <c r="U147" s="256" t="s">
        <v>664</v>
      </c>
      <c r="V147" s="256" t="s">
        <v>665</v>
      </c>
      <c r="W147" s="256" t="s">
        <v>666</v>
      </c>
    </row>
    <row r="148" spans="2:23" x14ac:dyDescent="0.3">
      <c r="B148" s="90">
        <v>1</v>
      </c>
      <c r="C148" s="432" t="s">
        <v>845</v>
      </c>
      <c r="D148" s="346">
        <f t="shared" ref="D148:G164" si="91">D40-D95</f>
        <v>3.6007118999999994</v>
      </c>
      <c r="E148" s="346">
        <f t="shared" si="91"/>
        <v>0</v>
      </c>
      <c r="F148" s="346">
        <f t="shared" si="91"/>
        <v>0</v>
      </c>
      <c r="G148" s="346">
        <f t="shared" si="91"/>
        <v>0</v>
      </c>
      <c r="H148" s="343">
        <f>D148+E148-F148-G148</f>
        <v>3.6007118999999994</v>
      </c>
      <c r="I148" s="428">
        <f>H148</f>
        <v>3.6007118999999994</v>
      </c>
      <c r="J148" s="451"/>
      <c r="K148" s="428"/>
      <c r="L148" s="451"/>
      <c r="M148" s="428">
        <f>I148+J148-K148-L148</f>
        <v>3.6007118999999994</v>
      </c>
      <c r="N148" s="428">
        <f>M148</f>
        <v>3.6007118999999994</v>
      </c>
      <c r="O148" s="451"/>
      <c r="P148" s="428"/>
      <c r="Q148" s="451"/>
      <c r="R148" s="428">
        <f>N148+O148-P148-Q148</f>
        <v>3.6007118999999994</v>
      </c>
      <c r="S148" s="428">
        <f>R148</f>
        <v>3.6007118999999994</v>
      </c>
      <c r="T148" s="451"/>
      <c r="U148" s="428"/>
      <c r="V148" s="451"/>
      <c r="W148" s="428">
        <f>S148+T148-U148-V148</f>
        <v>3.6007118999999994</v>
      </c>
    </row>
    <row r="149" spans="2:23" x14ac:dyDescent="0.3">
      <c r="B149" s="90">
        <f>B148+1</f>
        <v>2</v>
      </c>
      <c r="C149" s="432" t="s">
        <v>846</v>
      </c>
      <c r="D149" s="346">
        <f t="shared" si="91"/>
        <v>1.8916270204599712</v>
      </c>
      <c r="E149" s="346">
        <f t="shared" si="91"/>
        <v>-9.2653402177322874E-3</v>
      </c>
      <c r="F149" s="346">
        <f t="shared" si="91"/>
        <v>0</v>
      </c>
      <c r="G149" s="346">
        <f t="shared" si="91"/>
        <v>0</v>
      </c>
      <c r="H149" s="343">
        <f t="shared" ref="H149:H159" si="92">D149+E149-F149-G149</f>
        <v>1.8823616802422389</v>
      </c>
      <c r="I149" s="428">
        <f t="shared" ref="I149:I164" si="93">H149</f>
        <v>1.8823616802422389</v>
      </c>
      <c r="J149" s="451"/>
      <c r="K149" s="428"/>
      <c r="L149" s="451"/>
      <c r="M149" s="428">
        <f t="shared" ref="M149:M164" si="94">I149+J149-K149-L149</f>
        <v>1.8823616802422389</v>
      </c>
      <c r="N149" s="428">
        <f t="shared" ref="N149:N164" si="95">M149</f>
        <v>1.8823616802422389</v>
      </c>
      <c r="O149" s="451"/>
      <c r="P149" s="428"/>
      <c r="Q149" s="451"/>
      <c r="R149" s="428">
        <f t="shared" ref="R149:R164" si="96">N149+O149-P149-Q149</f>
        <v>1.8823616802422389</v>
      </c>
      <c r="S149" s="428">
        <f t="shared" ref="S149:S164" si="97">R149</f>
        <v>1.8823616802422389</v>
      </c>
      <c r="T149" s="451"/>
      <c r="U149" s="428"/>
      <c r="V149" s="451"/>
      <c r="W149" s="428">
        <f t="shared" ref="W149:W164" si="98">S149+T149-U149-V149</f>
        <v>1.8823616802422389</v>
      </c>
    </row>
    <row r="150" spans="2:23" x14ac:dyDescent="0.3">
      <c r="B150" s="90">
        <f t="shared" ref="B150:B164" si="99">B149+1</f>
        <v>3</v>
      </c>
      <c r="C150" s="432" t="s">
        <v>847</v>
      </c>
      <c r="D150" s="346">
        <f t="shared" si="91"/>
        <v>0</v>
      </c>
      <c r="E150" s="346">
        <f t="shared" si="91"/>
        <v>0</v>
      </c>
      <c r="F150" s="346">
        <f t="shared" si="91"/>
        <v>0</v>
      </c>
      <c r="G150" s="346">
        <f t="shared" si="91"/>
        <v>0</v>
      </c>
      <c r="H150" s="343">
        <f t="shared" si="92"/>
        <v>0</v>
      </c>
      <c r="I150" s="428">
        <f t="shared" si="93"/>
        <v>0</v>
      </c>
      <c r="J150" s="451"/>
      <c r="K150" s="428"/>
      <c r="L150" s="451"/>
      <c r="M150" s="428">
        <f t="shared" si="94"/>
        <v>0</v>
      </c>
      <c r="N150" s="428">
        <f t="shared" si="95"/>
        <v>0</v>
      </c>
      <c r="O150" s="451"/>
      <c r="P150" s="428"/>
      <c r="Q150" s="451"/>
      <c r="R150" s="428">
        <f t="shared" si="96"/>
        <v>0</v>
      </c>
      <c r="S150" s="428">
        <f t="shared" si="97"/>
        <v>0</v>
      </c>
      <c r="T150" s="451"/>
      <c r="U150" s="428"/>
      <c r="V150" s="451"/>
      <c r="W150" s="428">
        <f t="shared" si="98"/>
        <v>0</v>
      </c>
    </row>
    <row r="151" spans="2:23" x14ac:dyDescent="0.3">
      <c r="B151" s="90">
        <f t="shared" si="99"/>
        <v>4</v>
      </c>
      <c r="C151" s="432" t="s">
        <v>848</v>
      </c>
      <c r="D151" s="346">
        <f t="shared" si="91"/>
        <v>7.4254463989000712</v>
      </c>
      <c r="E151" s="346">
        <f t="shared" si="91"/>
        <v>-0.15404527472501783</v>
      </c>
      <c r="F151" s="346">
        <f t="shared" si="91"/>
        <v>0</v>
      </c>
      <c r="G151" s="346">
        <f t="shared" si="91"/>
        <v>0</v>
      </c>
      <c r="H151" s="343">
        <f t="shared" si="92"/>
        <v>7.2714011241750534</v>
      </c>
      <c r="I151" s="428">
        <f t="shared" si="93"/>
        <v>7.2714011241750534</v>
      </c>
      <c r="J151" s="451"/>
      <c r="K151" s="428"/>
      <c r="L151" s="451"/>
      <c r="M151" s="428">
        <f t="shared" si="94"/>
        <v>7.2714011241750534</v>
      </c>
      <c r="N151" s="428">
        <f t="shared" si="95"/>
        <v>7.2714011241750534</v>
      </c>
      <c r="O151" s="451"/>
      <c r="P151" s="428"/>
      <c r="Q151" s="451"/>
      <c r="R151" s="428">
        <f t="shared" si="96"/>
        <v>7.2714011241750534</v>
      </c>
      <c r="S151" s="428">
        <f t="shared" si="97"/>
        <v>7.2714011241750534</v>
      </c>
      <c r="T151" s="451"/>
      <c r="U151" s="428"/>
      <c r="V151" s="451"/>
      <c r="W151" s="428">
        <f t="shared" si="98"/>
        <v>7.2714011241750534</v>
      </c>
    </row>
    <row r="152" spans="2:23" x14ac:dyDescent="0.3">
      <c r="B152" s="90">
        <f t="shared" si="99"/>
        <v>5</v>
      </c>
      <c r="C152" s="432" t="s">
        <v>849</v>
      </c>
      <c r="D152" s="346">
        <f t="shared" si="91"/>
        <v>20.840190943213472</v>
      </c>
      <c r="E152" s="346">
        <f t="shared" si="91"/>
        <v>-3.0963453858033674</v>
      </c>
      <c r="F152" s="346">
        <f t="shared" si="91"/>
        <v>0</v>
      </c>
      <c r="G152" s="346">
        <f t="shared" si="91"/>
        <v>0</v>
      </c>
      <c r="H152" s="343">
        <f t="shared" si="92"/>
        <v>17.743845557410104</v>
      </c>
      <c r="I152" s="428">
        <f t="shared" si="93"/>
        <v>17.743845557410104</v>
      </c>
      <c r="J152" s="451"/>
      <c r="K152" s="428"/>
      <c r="L152" s="451"/>
      <c r="M152" s="428">
        <f t="shared" si="94"/>
        <v>17.743845557410104</v>
      </c>
      <c r="N152" s="428">
        <f t="shared" si="95"/>
        <v>17.743845557410104</v>
      </c>
      <c r="O152" s="451"/>
      <c r="P152" s="428"/>
      <c r="Q152" s="451"/>
      <c r="R152" s="428">
        <f t="shared" si="96"/>
        <v>17.743845557410104</v>
      </c>
      <c r="S152" s="428">
        <f t="shared" si="97"/>
        <v>17.743845557410104</v>
      </c>
      <c r="T152" s="451"/>
      <c r="U152" s="428"/>
      <c r="V152" s="451"/>
      <c r="W152" s="428">
        <f t="shared" si="98"/>
        <v>17.743845557410104</v>
      </c>
    </row>
    <row r="153" spans="2:23" x14ac:dyDescent="0.3">
      <c r="B153" s="90">
        <f t="shared" si="99"/>
        <v>6</v>
      </c>
      <c r="C153" s="432" t="s">
        <v>256</v>
      </c>
      <c r="D153" s="346">
        <f t="shared" si="91"/>
        <v>38.13535792745617</v>
      </c>
      <c r="E153" s="346">
        <f t="shared" si="91"/>
        <v>-2.2837923362344341</v>
      </c>
      <c r="F153" s="346">
        <f t="shared" si="91"/>
        <v>0</v>
      </c>
      <c r="G153" s="346">
        <f t="shared" si="91"/>
        <v>0</v>
      </c>
      <c r="H153" s="343">
        <f t="shared" si="92"/>
        <v>35.851565591221735</v>
      </c>
      <c r="I153" s="428">
        <f t="shared" si="93"/>
        <v>35.851565591221735</v>
      </c>
      <c r="J153" s="451"/>
      <c r="K153" s="428"/>
      <c r="L153" s="451"/>
      <c r="M153" s="428">
        <f t="shared" si="94"/>
        <v>35.851565591221735</v>
      </c>
      <c r="N153" s="428">
        <f t="shared" si="95"/>
        <v>35.851565591221735</v>
      </c>
      <c r="O153" s="451"/>
      <c r="P153" s="428"/>
      <c r="Q153" s="451"/>
      <c r="R153" s="428">
        <f t="shared" si="96"/>
        <v>35.851565591221735</v>
      </c>
      <c r="S153" s="428">
        <f t="shared" si="97"/>
        <v>35.851565591221735</v>
      </c>
      <c r="T153" s="451"/>
      <c r="U153" s="428"/>
      <c r="V153" s="451"/>
      <c r="W153" s="428">
        <f t="shared" si="98"/>
        <v>35.851565591221735</v>
      </c>
    </row>
    <row r="154" spans="2:23" x14ac:dyDescent="0.3">
      <c r="B154" s="90">
        <f t="shared" si="99"/>
        <v>7</v>
      </c>
      <c r="C154" s="432" t="s">
        <v>850</v>
      </c>
      <c r="D154" s="346">
        <f t="shared" si="91"/>
        <v>0.50790754752862965</v>
      </c>
      <c r="E154" s="346">
        <f t="shared" si="91"/>
        <v>-6.4446321153019681E-2</v>
      </c>
      <c r="F154" s="346">
        <f t="shared" si="91"/>
        <v>0</v>
      </c>
      <c r="G154" s="346">
        <f t="shared" si="91"/>
        <v>0</v>
      </c>
      <c r="H154" s="343">
        <f t="shared" si="92"/>
        <v>0.44346122637560997</v>
      </c>
      <c r="I154" s="428">
        <f t="shared" si="93"/>
        <v>0.44346122637560997</v>
      </c>
      <c r="J154" s="451"/>
      <c r="K154" s="428"/>
      <c r="L154" s="451"/>
      <c r="M154" s="428">
        <f t="shared" si="94"/>
        <v>0.44346122637560997</v>
      </c>
      <c r="N154" s="428">
        <f t="shared" si="95"/>
        <v>0.44346122637560997</v>
      </c>
      <c r="O154" s="451"/>
      <c r="P154" s="428"/>
      <c r="Q154" s="451"/>
      <c r="R154" s="428">
        <f t="shared" si="96"/>
        <v>0.44346122637560997</v>
      </c>
      <c r="S154" s="428">
        <f t="shared" si="97"/>
        <v>0.44346122637560997</v>
      </c>
      <c r="T154" s="451"/>
      <c r="U154" s="428"/>
      <c r="V154" s="451"/>
      <c r="W154" s="428">
        <f t="shared" si="98"/>
        <v>0.44346122637560997</v>
      </c>
    </row>
    <row r="155" spans="2:23" x14ac:dyDescent="0.3">
      <c r="B155" s="90">
        <f t="shared" si="99"/>
        <v>8</v>
      </c>
      <c r="C155" s="432" t="s">
        <v>851</v>
      </c>
      <c r="D155" s="346">
        <f t="shared" si="91"/>
        <v>4.3592707073624552E-2</v>
      </c>
      <c r="E155" s="346">
        <f t="shared" si="91"/>
        <v>-3.2436512591423002E-3</v>
      </c>
      <c r="F155" s="346">
        <f t="shared" si="91"/>
        <v>0</v>
      </c>
      <c r="G155" s="346">
        <f t="shared" si="91"/>
        <v>0</v>
      </c>
      <c r="H155" s="343">
        <f t="shared" si="92"/>
        <v>4.0349055814482254E-2</v>
      </c>
      <c r="I155" s="428">
        <f t="shared" si="93"/>
        <v>4.0349055814482254E-2</v>
      </c>
      <c r="J155" s="451"/>
      <c r="K155" s="428"/>
      <c r="L155" s="451"/>
      <c r="M155" s="428">
        <f t="shared" si="94"/>
        <v>4.0349055814482254E-2</v>
      </c>
      <c r="N155" s="428">
        <f t="shared" si="95"/>
        <v>4.0349055814482254E-2</v>
      </c>
      <c r="O155" s="451"/>
      <c r="P155" s="428"/>
      <c r="Q155" s="451"/>
      <c r="R155" s="428">
        <f t="shared" si="96"/>
        <v>4.0349055814482254E-2</v>
      </c>
      <c r="S155" s="428">
        <f t="shared" si="97"/>
        <v>4.0349055814482254E-2</v>
      </c>
      <c r="T155" s="451"/>
      <c r="U155" s="428"/>
      <c r="V155" s="451"/>
      <c r="W155" s="428">
        <f t="shared" si="98"/>
        <v>4.0349055814482254E-2</v>
      </c>
    </row>
    <row r="156" spans="2:23" x14ac:dyDescent="0.3">
      <c r="B156" s="90">
        <f t="shared" si="99"/>
        <v>9</v>
      </c>
      <c r="C156" s="432" t="s">
        <v>852</v>
      </c>
      <c r="D156" s="346">
        <f t="shared" si="91"/>
        <v>-0.3910440176002814</v>
      </c>
      <c r="E156" s="346">
        <f t="shared" si="91"/>
        <v>0</v>
      </c>
      <c r="F156" s="346">
        <f t="shared" si="91"/>
        <v>0</v>
      </c>
      <c r="G156" s="346">
        <f t="shared" si="91"/>
        <v>0</v>
      </c>
      <c r="H156" s="343">
        <f t="shared" si="92"/>
        <v>-0.3910440176002814</v>
      </c>
      <c r="I156" s="428">
        <f t="shared" si="93"/>
        <v>-0.3910440176002814</v>
      </c>
      <c r="J156" s="451"/>
      <c r="K156" s="428"/>
      <c r="L156" s="451"/>
      <c r="M156" s="428">
        <f t="shared" si="94"/>
        <v>-0.3910440176002814</v>
      </c>
      <c r="N156" s="428">
        <f t="shared" si="95"/>
        <v>-0.3910440176002814</v>
      </c>
      <c r="O156" s="451"/>
      <c r="P156" s="428"/>
      <c r="Q156" s="451"/>
      <c r="R156" s="428">
        <f t="shared" si="96"/>
        <v>-0.3910440176002814</v>
      </c>
      <c r="S156" s="428">
        <f t="shared" si="97"/>
        <v>-0.3910440176002814</v>
      </c>
      <c r="T156" s="451"/>
      <c r="U156" s="428"/>
      <c r="V156" s="451"/>
      <c r="W156" s="428">
        <f t="shared" si="98"/>
        <v>-0.3910440176002814</v>
      </c>
    </row>
    <row r="157" spans="2:23" x14ac:dyDescent="0.3">
      <c r="B157" s="90">
        <f t="shared" si="99"/>
        <v>10</v>
      </c>
      <c r="C157" s="432" t="s">
        <v>259</v>
      </c>
      <c r="D157" s="346">
        <f t="shared" si="91"/>
        <v>4.3663709999999911E-2</v>
      </c>
      <c r="E157" s="346">
        <f t="shared" si="91"/>
        <v>0</v>
      </c>
      <c r="F157" s="346">
        <f t="shared" si="91"/>
        <v>0</v>
      </c>
      <c r="G157" s="346">
        <f t="shared" si="91"/>
        <v>0</v>
      </c>
      <c r="H157" s="343">
        <f t="shared" si="92"/>
        <v>4.3663709999999911E-2</v>
      </c>
      <c r="I157" s="428">
        <f t="shared" si="93"/>
        <v>4.3663709999999911E-2</v>
      </c>
      <c r="J157" s="451"/>
      <c r="K157" s="428"/>
      <c r="L157" s="451"/>
      <c r="M157" s="428">
        <f t="shared" si="94"/>
        <v>4.3663709999999911E-2</v>
      </c>
      <c r="N157" s="428">
        <f t="shared" si="95"/>
        <v>4.3663709999999911E-2</v>
      </c>
      <c r="O157" s="451"/>
      <c r="P157" s="428"/>
      <c r="Q157" s="451"/>
      <c r="R157" s="428">
        <f t="shared" si="96"/>
        <v>4.3663709999999911E-2</v>
      </c>
      <c r="S157" s="428">
        <f t="shared" si="97"/>
        <v>4.3663709999999911E-2</v>
      </c>
      <c r="T157" s="451"/>
      <c r="U157" s="428"/>
      <c r="V157" s="451"/>
      <c r="W157" s="428">
        <f t="shared" si="98"/>
        <v>4.3663709999999911E-2</v>
      </c>
    </row>
    <row r="158" spans="2:23" x14ac:dyDescent="0.3">
      <c r="B158" s="90">
        <f t="shared" si="99"/>
        <v>11</v>
      </c>
      <c r="C158" s="432" t="s">
        <v>260</v>
      </c>
      <c r="D158" s="346">
        <f t="shared" si="91"/>
        <v>0.26044666454217902</v>
      </c>
      <c r="E158" s="346">
        <f t="shared" si="91"/>
        <v>-4.0519347629550562E-2</v>
      </c>
      <c r="F158" s="346">
        <f t="shared" si="91"/>
        <v>0</v>
      </c>
      <c r="G158" s="346">
        <f t="shared" si="91"/>
        <v>0</v>
      </c>
      <c r="H158" s="343">
        <f t="shared" si="92"/>
        <v>0.21992731691262846</v>
      </c>
      <c r="I158" s="428">
        <f t="shared" si="93"/>
        <v>0.21992731691262846</v>
      </c>
      <c r="J158" s="451"/>
      <c r="K158" s="428"/>
      <c r="L158" s="451"/>
      <c r="M158" s="428">
        <f t="shared" si="94"/>
        <v>0.21992731691262846</v>
      </c>
      <c r="N158" s="428">
        <f t="shared" si="95"/>
        <v>0.21992731691262846</v>
      </c>
      <c r="O158" s="451"/>
      <c r="P158" s="428"/>
      <c r="Q158" s="451"/>
      <c r="R158" s="428">
        <f t="shared" si="96"/>
        <v>0.21992731691262846</v>
      </c>
      <c r="S158" s="428">
        <f t="shared" si="97"/>
        <v>0.21992731691262846</v>
      </c>
      <c r="T158" s="451"/>
      <c r="U158" s="428"/>
      <c r="V158" s="451"/>
      <c r="W158" s="428">
        <f t="shared" si="98"/>
        <v>0.21992731691262846</v>
      </c>
    </row>
    <row r="159" spans="2:23" x14ac:dyDescent="0.3">
      <c r="B159" s="90">
        <f t="shared" si="99"/>
        <v>12</v>
      </c>
      <c r="C159" s="432" t="s">
        <v>261</v>
      </c>
      <c r="D159" s="346">
        <f t="shared" si="91"/>
        <v>0.505425596485372</v>
      </c>
      <c r="E159" s="346">
        <f t="shared" si="91"/>
        <v>-7.1414737545302365E-2</v>
      </c>
      <c r="F159" s="346">
        <f t="shared" si="91"/>
        <v>0</v>
      </c>
      <c r="G159" s="346">
        <f t="shared" si="91"/>
        <v>0</v>
      </c>
      <c r="H159" s="343">
        <f t="shared" si="92"/>
        <v>0.43401085894006963</v>
      </c>
      <c r="I159" s="428">
        <f t="shared" si="93"/>
        <v>0.43401085894006963</v>
      </c>
      <c r="J159" s="451"/>
      <c r="K159" s="428"/>
      <c r="L159" s="451"/>
      <c r="M159" s="428">
        <f t="shared" si="94"/>
        <v>0.43401085894006963</v>
      </c>
      <c r="N159" s="428">
        <f t="shared" si="95"/>
        <v>0.43401085894006963</v>
      </c>
      <c r="O159" s="451"/>
      <c r="P159" s="428"/>
      <c r="Q159" s="451"/>
      <c r="R159" s="428">
        <f t="shared" si="96"/>
        <v>0.43401085894006963</v>
      </c>
      <c r="S159" s="428">
        <f t="shared" si="97"/>
        <v>0.43401085894006963</v>
      </c>
      <c r="T159" s="451"/>
      <c r="U159" s="428"/>
      <c r="V159" s="451"/>
      <c r="W159" s="428">
        <f t="shared" si="98"/>
        <v>0.43401085894006963</v>
      </c>
    </row>
    <row r="160" spans="2:23" x14ac:dyDescent="0.3">
      <c r="B160" s="90">
        <f t="shared" si="99"/>
        <v>13</v>
      </c>
      <c r="C160" s="450" t="s">
        <v>899</v>
      </c>
      <c r="D160" s="346">
        <f t="shared" si="91"/>
        <v>0</v>
      </c>
      <c r="E160" s="346">
        <f t="shared" si="91"/>
        <v>0</v>
      </c>
      <c r="F160" s="346">
        <f t="shared" si="91"/>
        <v>0</v>
      </c>
      <c r="G160" s="346">
        <f t="shared" si="91"/>
        <v>0</v>
      </c>
      <c r="H160" s="343">
        <f t="shared" ref="H160:H164" si="100">D160+E160-F160-G160</f>
        <v>0</v>
      </c>
      <c r="I160" s="428">
        <f t="shared" si="93"/>
        <v>0</v>
      </c>
      <c r="J160" s="451"/>
      <c r="K160" s="428"/>
      <c r="L160" s="451"/>
      <c r="M160" s="428">
        <f t="shared" si="94"/>
        <v>0</v>
      </c>
      <c r="N160" s="428">
        <f t="shared" si="95"/>
        <v>0</v>
      </c>
      <c r="O160" s="451"/>
      <c r="P160" s="428"/>
      <c r="Q160" s="451"/>
      <c r="R160" s="428">
        <f t="shared" si="96"/>
        <v>0</v>
      </c>
      <c r="S160" s="428">
        <f t="shared" si="97"/>
        <v>0</v>
      </c>
      <c r="T160" s="451"/>
      <c r="U160" s="428"/>
      <c r="V160" s="451"/>
      <c r="W160" s="428">
        <f t="shared" si="98"/>
        <v>0</v>
      </c>
    </row>
    <row r="161" spans="2:23" x14ac:dyDescent="0.3">
      <c r="B161" s="90">
        <f t="shared" si="99"/>
        <v>14</v>
      </c>
      <c r="C161" s="450" t="s">
        <v>900</v>
      </c>
      <c r="D161" s="346">
        <f t="shared" si="91"/>
        <v>-2.7123780850000008E-2</v>
      </c>
      <c r="E161" s="346">
        <f t="shared" si="91"/>
        <v>2.2331679000000019E-3</v>
      </c>
      <c r="F161" s="346">
        <f t="shared" si="91"/>
        <v>0</v>
      </c>
      <c r="G161" s="346">
        <f t="shared" si="91"/>
        <v>0</v>
      </c>
      <c r="H161" s="343">
        <f t="shared" si="100"/>
        <v>-2.4890612950000005E-2</v>
      </c>
      <c r="I161" s="428">
        <f t="shared" si="93"/>
        <v>-2.4890612950000005E-2</v>
      </c>
      <c r="J161" s="451"/>
      <c r="K161" s="428"/>
      <c r="L161" s="451"/>
      <c r="M161" s="428">
        <f t="shared" si="94"/>
        <v>-2.4890612950000005E-2</v>
      </c>
      <c r="N161" s="428">
        <f t="shared" si="95"/>
        <v>-2.4890612950000005E-2</v>
      </c>
      <c r="O161" s="451"/>
      <c r="P161" s="428"/>
      <c r="Q161" s="451"/>
      <c r="R161" s="428">
        <f t="shared" si="96"/>
        <v>-2.4890612950000005E-2</v>
      </c>
      <c r="S161" s="428">
        <f t="shared" si="97"/>
        <v>-2.4890612950000005E-2</v>
      </c>
      <c r="T161" s="451"/>
      <c r="U161" s="428"/>
      <c r="V161" s="451"/>
      <c r="W161" s="428">
        <f t="shared" si="98"/>
        <v>-2.4890612950000005E-2</v>
      </c>
    </row>
    <row r="162" spans="2:23" x14ac:dyDescent="0.3">
      <c r="B162" s="90">
        <f t="shared" si="99"/>
        <v>15</v>
      </c>
      <c r="C162" s="450" t="s">
        <v>901</v>
      </c>
      <c r="D162" s="346">
        <f t="shared" si="91"/>
        <v>0</v>
      </c>
      <c r="E162" s="346">
        <f t="shared" si="91"/>
        <v>0</v>
      </c>
      <c r="F162" s="346">
        <f t="shared" si="91"/>
        <v>0</v>
      </c>
      <c r="G162" s="346">
        <f t="shared" si="91"/>
        <v>0</v>
      </c>
      <c r="H162" s="343">
        <f t="shared" si="100"/>
        <v>0</v>
      </c>
      <c r="I162" s="428">
        <f t="shared" si="93"/>
        <v>0</v>
      </c>
      <c r="J162" s="451"/>
      <c r="K162" s="428"/>
      <c r="L162" s="451"/>
      <c r="M162" s="428">
        <f t="shared" si="94"/>
        <v>0</v>
      </c>
      <c r="N162" s="428">
        <f t="shared" si="95"/>
        <v>0</v>
      </c>
      <c r="O162" s="451"/>
      <c r="P162" s="428"/>
      <c r="Q162" s="451"/>
      <c r="R162" s="428">
        <f t="shared" si="96"/>
        <v>0</v>
      </c>
      <c r="S162" s="428">
        <f t="shared" si="97"/>
        <v>0</v>
      </c>
      <c r="T162" s="451"/>
      <c r="U162" s="428"/>
      <c r="V162" s="451"/>
      <c r="W162" s="428">
        <f t="shared" si="98"/>
        <v>0</v>
      </c>
    </row>
    <row r="163" spans="2:23" x14ac:dyDescent="0.3">
      <c r="B163" s="90">
        <f t="shared" si="99"/>
        <v>16</v>
      </c>
      <c r="C163" s="450" t="s">
        <v>853</v>
      </c>
      <c r="D163" s="346">
        <f t="shared" si="91"/>
        <v>0</v>
      </c>
      <c r="E163" s="346">
        <f t="shared" si="91"/>
        <v>0</v>
      </c>
      <c r="F163" s="346">
        <f t="shared" si="91"/>
        <v>0</v>
      </c>
      <c r="G163" s="346">
        <f t="shared" si="91"/>
        <v>0</v>
      </c>
      <c r="H163" s="343">
        <f t="shared" si="100"/>
        <v>0</v>
      </c>
      <c r="I163" s="428">
        <f t="shared" si="93"/>
        <v>0</v>
      </c>
      <c r="J163" s="451"/>
      <c r="K163" s="428"/>
      <c r="L163" s="451"/>
      <c r="M163" s="428">
        <f t="shared" si="94"/>
        <v>0</v>
      </c>
      <c r="N163" s="428">
        <f t="shared" si="95"/>
        <v>0</v>
      </c>
      <c r="O163" s="451"/>
      <c r="P163" s="428"/>
      <c r="Q163" s="451"/>
      <c r="R163" s="428">
        <f t="shared" si="96"/>
        <v>0</v>
      </c>
      <c r="S163" s="428">
        <f t="shared" si="97"/>
        <v>0</v>
      </c>
      <c r="T163" s="451"/>
      <c r="U163" s="428"/>
      <c r="V163" s="451"/>
      <c r="W163" s="428">
        <f t="shared" si="98"/>
        <v>0</v>
      </c>
    </row>
    <row r="164" spans="2:23" x14ac:dyDescent="0.3">
      <c r="B164" s="90">
        <f t="shared" si="99"/>
        <v>17</v>
      </c>
      <c r="C164" s="450" t="s">
        <v>902</v>
      </c>
      <c r="D164" s="346">
        <f t="shared" si="91"/>
        <v>0</v>
      </c>
      <c r="E164" s="346">
        <f t="shared" si="91"/>
        <v>0</v>
      </c>
      <c r="F164" s="346">
        <f t="shared" si="91"/>
        <v>0</v>
      </c>
      <c r="G164" s="346">
        <f t="shared" si="91"/>
        <v>0</v>
      </c>
      <c r="H164" s="343">
        <f t="shared" si="100"/>
        <v>0</v>
      </c>
      <c r="I164" s="428">
        <f t="shared" si="93"/>
        <v>0</v>
      </c>
      <c r="J164" s="451"/>
      <c r="K164" s="428"/>
      <c r="L164" s="451"/>
      <c r="M164" s="428">
        <f t="shared" si="94"/>
        <v>0</v>
      </c>
      <c r="N164" s="428">
        <f t="shared" si="95"/>
        <v>0</v>
      </c>
      <c r="O164" s="451"/>
      <c r="P164" s="428"/>
      <c r="Q164" s="451"/>
      <c r="R164" s="428">
        <f t="shared" si="96"/>
        <v>0</v>
      </c>
      <c r="S164" s="428">
        <f t="shared" si="97"/>
        <v>0</v>
      </c>
      <c r="T164" s="451"/>
      <c r="U164" s="428"/>
      <c r="V164" s="451"/>
      <c r="W164" s="428">
        <f t="shared" si="98"/>
        <v>0</v>
      </c>
    </row>
    <row r="165" spans="2:23" ht="16" x14ac:dyDescent="0.3">
      <c r="B165" s="78"/>
      <c r="C165" s="92" t="s">
        <v>271</v>
      </c>
      <c r="D165" s="345">
        <f>SUM(D148:D163)</f>
        <v>72.83620261720921</v>
      </c>
      <c r="E165" s="345">
        <f>SUM(E148:E163)</f>
        <v>-5.7208392266675663</v>
      </c>
      <c r="F165" s="345">
        <f>SUM(F148:F163)</f>
        <v>0</v>
      </c>
      <c r="G165" s="345">
        <f>SUM(G148:G163)</f>
        <v>0</v>
      </c>
      <c r="H165" s="345">
        <f>SUM(H148:H163)</f>
        <v>67.115363390541646</v>
      </c>
      <c r="I165" s="345">
        <f t="shared" ref="I165:W165" si="101">SUM(I148:I164)</f>
        <v>67.115363390541646</v>
      </c>
      <c r="J165" s="345">
        <f t="shared" si="101"/>
        <v>0</v>
      </c>
      <c r="K165" s="345">
        <f t="shared" si="101"/>
        <v>0</v>
      </c>
      <c r="L165" s="345">
        <f t="shared" si="101"/>
        <v>0</v>
      </c>
      <c r="M165" s="345">
        <f t="shared" si="101"/>
        <v>67.115363390541646</v>
      </c>
      <c r="N165" s="345">
        <f t="shared" si="101"/>
        <v>67.115363390541646</v>
      </c>
      <c r="O165" s="345">
        <f t="shared" si="101"/>
        <v>0</v>
      </c>
      <c r="P165" s="345">
        <f t="shared" si="101"/>
        <v>0</v>
      </c>
      <c r="Q165" s="345">
        <f t="shared" si="101"/>
        <v>0</v>
      </c>
      <c r="R165" s="345">
        <f t="shared" si="101"/>
        <v>67.115363390541646</v>
      </c>
      <c r="S165" s="345">
        <f t="shared" si="101"/>
        <v>67.115363390541646</v>
      </c>
      <c r="T165" s="345">
        <f t="shared" si="101"/>
        <v>0</v>
      </c>
      <c r="U165" s="345">
        <f t="shared" si="101"/>
        <v>0</v>
      </c>
      <c r="V165" s="345">
        <f t="shared" si="101"/>
        <v>0</v>
      </c>
      <c r="W165" s="345">
        <f t="shared" si="101"/>
        <v>67.115363390541646</v>
      </c>
    </row>
    <row r="166" spans="2:23" x14ac:dyDescent="0.3">
      <c r="B166" s="264"/>
      <c r="C166" s="74"/>
      <c r="D166" s="74"/>
      <c r="E166" s="74"/>
      <c r="F166" s="74"/>
    </row>
  </sheetData>
  <mergeCells count="61">
    <mergeCell ref="N145:R145"/>
    <mergeCell ref="S145:W145"/>
    <mergeCell ref="N91:R91"/>
    <mergeCell ref="S91:W91"/>
    <mergeCell ref="N92:R92"/>
    <mergeCell ref="S92:W92"/>
    <mergeCell ref="N144:R144"/>
    <mergeCell ref="S144:W144"/>
    <mergeCell ref="S118:W118"/>
    <mergeCell ref="S36:W36"/>
    <mergeCell ref="S37:W37"/>
    <mergeCell ref="N36:R36"/>
    <mergeCell ref="N37:R37"/>
    <mergeCell ref="B64:B66"/>
    <mergeCell ref="S64:W64"/>
    <mergeCell ref="D36:H36"/>
    <mergeCell ref="D37:H37"/>
    <mergeCell ref="I36:M36"/>
    <mergeCell ref="I37:M37"/>
    <mergeCell ref="B91:B93"/>
    <mergeCell ref="C91:C93"/>
    <mergeCell ref="N64:R64"/>
    <mergeCell ref="I118:M118"/>
    <mergeCell ref="I119:M119"/>
    <mergeCell ref="D119:H119"/>
    <mergeCell ref="D64:H64"/>
    <mergeCell ref="I65:M65"/>
    <mergeCell ref="D91:H91"/>
    <mergeCell ref="I91:M91"/>
    <mergeCell ref="N11:R11"/>
    <mergeCell ref="S11:W11"/>
    <mergeCell ref="S10:W10"/>
    <mergeCell ref="N10:R10"/>
    <mergeCell ref="C64:C66"/>
    <mergeCell ref="D65:H65"/>
    <mergeCell ref="B33:G33"/>
    <mergeCell ref="I64:M64"/>
    <mergeCell ref="B36:B38"/>
    <mergeCell ref="C36:C38"/>
    <mergeCell ref="B10:B12"/>
    <mergeCell ref="C10:C12"/>
    <mergeCell ref="I10:M10"/>
    <mergeCell ref="I11:M11"/>
    <mergeCell ref="D10:H10"/>
    <mergeCell ref="D11:H11"/>
    <mergeCell ref="B144:B146"/>
    <mergeCell ref="C144:C146"/>
    <mergeCell ref="N119:R119"/>
    <mergeCell ref="S119:W119"/>
    <mergeCell ref="N65:R65"/>
    <mergeCell ref="S65:W65"/>
    <mergeCell ref="N118:R118"/>
    <mergeCell ref="D92:H92"/>
    <mergeCell ref="I92:M92"/>
    <mergeCell ref="D144:H144"/>
    <mergeCell ref="D145:H145"/>
    <mergeCell ref="I144:M144"/>
    <mergeCell ref="I145:M145"/>
    <mergeCell ref="D118:H118"/>
    <mergeCell ref="B118:B120"/>
    <mergeCell ref="C118:C120"/>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58" max="32" man="1"/>
    <brk id="114" max="3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86"/>
  <sheetViews>
    <sheetView showGridLines="0" view="pageBreakPreview" topLeftCell="E1" zoomScale="70" zoomScaleNormal="68" zoomScaleSheetLayoutView="70" workbookViewId="0">
      <selection activeCell="M21" sqref="M21"/>
    </sheetView>
  </sheetViews>
  <sheetFormatPr defaultColWidth="9.08984375" defaultRowHeight="14" x14ac:dyDescent="0.3"/>
  <cols>
    <col min="1" max="1" width="4.08984375" style="1" customWidth="1"/>
    <col min="2" max="2" width="6.36328125" style="1" customWidth="1"/>
    <col min="3" max="3" width="36.08984375" style="1" customWidth="1"/>
    <col min="4" max="8" width="19.08984375" style="1" customWidth="1"/>
    <col min="9" max="28" width="18.36328125" style="1" customWidth="1"/>
    <col min="29" max="33" width="18.6328125" style="1" customWidth="1"/>
    <col min="34" max="16383" width="9.08984375" style="1"/>
    <col min="16384" max="16384" width="9.08984375" style="1" bestFit="1" customWidth="1"/>
  </cols>
  <sheetData>
    <row r="1" spans="1:29" x14ac:dyDescent="0.3">
      <c r="B1" s="802"/>
    </row>
    <row r="2" spans="1:29" x14ac:dyDescent="0.3">
      <c r="B2" s="802"/>
    </row>
    <row r="3" spans="1:29" x14ac:dyDescent="0.3">
      <c r="B3" s="802"/>
    </row>
    <row r="4" spans="1:29" x14ac:dyDescent="0.3">
      <c r="B4" s="8"/>
      <c r="N4" s="808"/>
      <c r="O4" s="808"/>
      <c r="P4" s="799" t="str">
        <f>Index!B2</f>
        <v xml:space="preserve">      Maharashtra State Power Generation Company Ltd.</v>
      </c>
      <c r="Q4" s="809"/>
      <c r="R4" s="808"/>
      <c r="S4" s="808"/>
      <c r="T4" s="808"/>
      <c r="U4" s="808"/>
      <c r="V4" s="808"/>
      <c r="W4" s="808"/>
      <c r="X4" s="808"/>
      <c r="Y4" s="808"/>
      <c r="Z4" s="808"/>
      <c r="AA4" s="808"/>
      <c r="AB4" s="808"/>
      <c r="AC4" s="808"/>
    </row>
    <row r="5" spans="1:29" x14ac:dyDescent="0.3">
      <c r="B5" s="8"/>
      <c r="N5" s="810"/>
      <c r="O5" s="810"/>
      <c r="P5" s="799" t="str">
        <f>Index!B3</f>
        <v>MYT Petition Formats for Bhusawal Unit 3</v>
      </c>
      <c r="Q5" s="809"/>
      <c r="R5" s="810"/>
      <c r="S5" s="810"/>
      <c r="T5" s="810"/>
      <c r="U5" s="810"/>
      <c r="V5" s="810"/>
      <c r="W5" s="810"/>
      <c r="X5" s="810"/>
      <c r="Y5" s="810"/>
      <c r="Z5" s="810"/>
      <c r="AA5" s="810"/>
      <c r="AB5" s="810"/>
      <c r="AC5" s="808"/>
    </row>
    <row r="6" spans="1:29" x14ac:dyDescent="0.3">
      <c r="B6" s="808"/>
      <c r="N6" s="808"/>
      <c r="O6" s="8"/>
      <c r="P6" s="125" t="s">
        <v>1151</v>
      </c>
      <c r="Q6" s="125"/>
      <c r="R6" s="8"/>
      <c r="S6" s="8"/>
      <c r="T6" s="808"/>
      <c r="U6" s="808"/>
      <c r="V6" s="808"/>
      <c r="W6" s="808"/>
      <c r="X6" s="808"/>
      <c r="Y6" s="808"/>
      <c r="Z6" s="808"/>
      <c r="AA6" s="808"/>
      <c r="AB6" s="808"/>
      <c r="AC6" s="808"/>
    </row>
    <row r="7" spans="1:29" x14ac:dyDescent="0.3">
      <c r="C7" s="8"/>
      <c r="D7" s="8"/>
      <c r="E7" s="8"/>
      <c r="F7" s="8"/>
      <c r="G7" s="8"/>
      <c r="H7" s="8"/>
      <c r="I7" s="8"/>
      <c r="J7" s="8"/>
      <c r="K7" s="8"/>
      <c r="L7" s="8"/>
      <c r="M7" s="8"/>
      <c r="O7" s="42"/>
      <c r="R7" s="42"/>
      <c r="S7" s="42"/>
    </row>
    <row r="8" spans="1:29" x14ac:dyDescent="0.3">
      <c r="A8" s="1" t="s">
        <v>265</v>
      </c>
      <c r="B8" s="802" t="s">
        <v>266</v>
      </c>
      <c r="C8" s="802"/>
      <c r="D8" s="802"/>
      <c r="E8" s="802"/>
      <c r="F8" s="802"/>
      <c r="G8" s="802"/>
      <c r="H8" s="802"/>
      <c r="I8" s="802"/>
      <c r="J8" s="802"/>
      <c r="K8" s="802"/>
      <c r="L8" s="802"/>
      <c r="M8" s="802"/>
      <c r="O8" s="42"/>
      <c r="R8" s="42"/>
      <c r="S8" s="42"/>
      <c r="W8" s="811"/>
    </row>
    <row r="9" spans="1:29" ht="15.75" customHeight="1" x14ac:dyDescent="0.3">
      <c r="B9" s="802"/>
      <c r="C9" s="8"/>
      <c r="D9" s="8"/>
      <c r="E9" s="8"/>
      <c r="F9" s="8"/>
      <c r="G9" s="8"/>
      <c r="H9" s="8"/>
      <c r="I9" s="8"/>
      <c r="J9" s="8"/>
      <c r="K9" s="8"/>
      <c r="L9" s="8"/>
      <c r="M9" s="8"/>
      <c r="O9" s="42"/>
      <c r="R9" s="42"/>
      <c r="S9" s="42"/>
      <c r="AB9" s="255" t="s">
        <v>10</v>
      </c>
    </row>
    <row r="10" spans="1:29" ht="15.75" customHeight="1" x14ac:dyDescent="0.3">
      <c r="B10" s="1639" t="s">
        <v>340</v>
      </c>
      <c r="C10" s="1639" t="s">
        <v>38</v>
      </c>
      <c r="D10" s="1639" t="s">
        <v>1067</v>
      </c>
      <c r="E10" s="1639"/>
      <c r="F10" s="1639"/>
      <c r="G10" s="1639"/>
      <c r="H10" s="1639"/>
      <c r="I10" s="1758" t="s">
        <v>1068</v>
      </c>
      <c r="J10" s="1758"/>
      <c r="K10" s="1758"/>
      <c r="L10" s="1758"/>
      <c r="M10" s="1758"/>
      <c r="N10" s="1758" t="s">
        <v>1069</v>
      </c>
      <c r="O10" s="1758"/>
      <c r="P10" s="1758"/>
      <c r="Q10" s="1758"/>
      <c r="R10" s="1758"/>
      <c r="S10" s="1758" t="s">
        <v>1070</v>
      </c>
      <c r="T10" s="1758"/>
      <c r="U10" s="1758"/>
      <c r="V10" s="1758"/>
      <c r="W10" s="1758"/>
      <c r="X10" s="1758" t="s">
        <v>1071</v>
      </c>
      <c r="Y10" s="1758"/>
      <c r="Z10" s="1758"/>
      <c r="AA10" s="1758"/>
      <c r="AB10" s="1758"/>
    </row>
    <row r="11" spans="1:29" x14ac:dyDescent="0.3">
      <c r="B11" s="1639"/>
      <c r="C11" s="1639"/>
      <c r="D11" s="1764" t="s">
        <v>21</v>
      </c>
      <c r="E11" s="1765"/>
      <c r="F11" s="1765"/>
      <c r="G11" s="1765"/>
      <c r="H11" s="1765"/>
      <c r="I11" s="1762" t="s">
        <v>21</v>
      </c>
      <c r="J11" s="1763"/>
      <c r="K11" s="1763"/>
      <c r="L11" s="1763"/>
      <c r="M11" s="1763"/>
      <c r="N11" s="1762" t="s">
        <v>21</v>
      </c>
      <c r="O11" s="1763"/>
      <c r="P11" s="1763"/>
      <c r="Q11" s="1763"/>
      <c r="R11" s="1763"/>
      <c r="S11" s="1762" t="s">
        <v>21</v>
      </c>
      <c r="T11" s="1763"/>
      <c r="U11" s="1763"/>
      <c r="V11" s="1763"/>
      <c r="W11" s="1763"/>
      <c r="X11" s="1762" t="s">
        <v>21</v>
      </c>
      <c r="Y11" s="1763"/>
      <c r="Z11" s="1763"/>
      <c r="AA11" s="1763"/>
      <c r="AB11" s="1763"/>
    </row>
    <row r="12" spans="1:29" s="124" customFormat="1" ht="42" x14ac:dyDescent="0.25">
      <c r="B12" s="1639"/>
      <c r="C12" s="1639"/>
      <c r="D12" s="801" t="s">
        <v>267</v>
      </c>
      <c r="E12" s="801" t="s">
        <v>268</v>
      </c>
      <c r="F12" s="801" t="s">
        <v>269</v>
      </c>
      <c r="G12" s="801" t="s">
        <v>586</v>
      </c>
      <c r="H12" s="801" t="s">
        <v>270</v>
      </c>
      <c r="I12" s="803" t="s">
        <v>267</v>
      </c>
      <c r="J12" s="803" t="s">
        <v>268</v>
      </c>
      <c r="K12" s="803" t="s">
        <v>269</v>
      </c>
      <c r="L12" s="801" t="s">
        <v>586</v>
      </c>
      <c r="M12" s="803" t="s">
        <v>270</v>
      </c>
      <c r="N12" s="803" t="s">
        <v>267</v>
      </c>
      <c r="O12" s="803" t="s">
        <v>268</v>
      </c>
      <c r="P12" s="803" t="s">
        <v>269</v>
      </c>
      <c r="Q12" s="801" t="s">
        <v>586</v>
      </c>
      <c r="R12" s="803" t="s">
        <v>270</v>
      </c>
      <c r="S12" s="803" t="s">
        <v>267</v>
      </c>
      <c r="T12" s="803" t="s">
        <v>268</v>
      </c>
      <c r="U12" s="803" t="s">
        <v>269</v>
      </c>
      <c r="V12" s="801" t="s">
        <v>586</v>
      </c>
      <c r="W12" s="803" t="s">
        <v>270</v>
      </c>
      <c r="X12" s="803" t="s">
        <v>267</v>
      </c>
      <c r="Y12" s="803" t="s">
        <v>268</v>
      </c>
      <c r="Z12" s="803" t="s">
        <v>269</v>
      </c>
      <c r="AA12" s="801" t="s">
        <v>586</v>
      </c>
      <c r="AB12" s="803" t="s">
        <v>270</v>
      </c>
    </row>
    <row r="13" spans="1:29" s="42" customFormat="1" x14ac:dyDescent="0.3">
      <c r="B13" s="256"/>
      <c r="C13" s="256"/>
      <c r="D13" s="256" t="s">
        <v>82</v>
      </c>
      <c r="E13" s="256" t="s">
        <v>83</v>
      </c>
      <c r="F13" s="256" t="s">
        <v>459</v>
      </c>
      <c r="G13" s="256" t="s">
        <v>391</v>
      </c>
      <c r="H13" s="256" t="s">
        <v>587</v>
      </c>
      <c r="I13" s="256" t="s">
        <v>409</v>
      </c>
      <c r="J13" s="256" t="s">
        <v>508</v>
      </c>
      <c r="K13" s="256" t="s">
        <v>410</v>
      </c>
      <c r="L13" s="256" t="s">
        <v>411</v>
      </c>
      <c r="M13" s="256" t="s">
        <v>652</v>
      </c>
      <c r="N13" s="256" t="s">
        <v>588</v>
      </c>
      <c r="O13" s="256" t="s">
        <v>653</v>
      </c>
      <c r="P13" s="256" t="s">
        <v>589</v>
      </c>
      <c r="Q13" s="256" t="s">
        <v>590</v>
      </c>
      <c r="R13" s="256" t="s">
        <v>1152</v>
      </c>
      <c r="S13" s="256" t="s">
        <v>591</v>
      </c>
      <c r="T13" s="256" t="s">
        <v>592</v>
      </c>
      <c r="U13" s="256" t="s">
        <v>654</v>
      </c>
      <c r="V13" s="256" t="s">
        <v>593</v>
      </c>
      <c r="W13" s="256" t="s">
        <v>1153</v>
      </c>
      <c r="X13" s="256" t="s">
        <v>594</v>
      </c>
      <c r="Y13" s="256" t="s">
        <v>595</v>
      </c>
      <c r="Z13" s="256" t="s">
        <v>596</v>
      </c>
      <c r="AA13" s="256" t="s">
        <v>655</v>
      </c>
      <c r="AB13" s="256" t="s">
        <v>656</v>
      </c>
    </row>
    <row r="14" spans="1:29" s="42" customFormat="1" x14ac:dyDescent="0.3">
      <c r="B14" s="448">
        <v>1</v>
      </c>
      <c r="C14" s="450" t="s">
        <v>845</v>
      </c>
      <c r="D14" s="1036">
        <v>0</v>
      </c>
      <c r="E14" s="1036">
        <v>0</v>
      </c>
      <c r="F14" s="1036">
        <v>0</v>
      </c>
      <c r="G14" s="813"/>
      <c r="H14" s="451">
        <f>D14+E14-F14-G14</f>
        <v>0</v>
      </c>
      <c r="I14" s="428">
        <f>H14</f>
        <v>0</v>
      </c>
      <c r="J14" s="1036">
        <v>0</v>
      </c>
      <c r="K14" s="1036">
        <v>0</v>
      </c>
      <c r="L14" s="813"/>
      <c r="M14" s="428">
        <f>I14+J14-K14-L14</f>
        <v>0</v>
      </c>
      <c r="N14" s="845">
        <f>M14</f>
        <v>0</v>
      </c>
      <c r="O14" s="1036">
        <v>0</v>
      </c>
      <c r="P14" s="1036">
        <v>0</v>
      </c>
      <c r="Q14" s="813"/>
      <c r="R14" s="847">
        <f>N14+O14-P14-Q14</f>
        <v>0</v>
      </c>
      <c r="S14" s="847">
        <f>R14</f>
        <v>0</v>
      </c>
      <c r="T14" s="1036">
        <v>0</v>
      </c>
      <c r="U14" s="1036">
        <v>0</v>
      </c>
      <c r="V14" s="813"/>
      <c r="W14" s="847">
        <f>S14+T14-U14-V14</f>
        <v>0</v>
      </c>
      <c r="X14" s="847">
        <f>W14</f>
        <v>0</v>
      </c>
      <c r="Y14" s="1038">
        <v>0</v>
      </c>
      <c r="Z14" s="1038">
        <v>0</v>
      </c>
      <c r="AA14" s="813"/>
      <c r="AB14" s="847">
        <f>X14+Y14-Z14-AA14</f>
        <v>0</v>
      </c>
    </row>
    <row r="15" spans="1:29" s="42" customFormat="1" x14ac:dyDescent="0.3">
      <c r="B15" s="448">
        <f>B14+1</f>
        <v>2</v>
      </c>
      <c r="C15" s="450" t="s">
        <v>846</v>
      </c>
      <c r="D15" s="1036">
        <v>0</v>
      </c>
      <c r="E15" s="1036">
        <v>0</v>
      </c>
      <c r="F15" s="1036">
        <v>0</v>
      </c>
      <c r="G15" s="813"/>
      <c r="H15" s="451">
        <f t="shared" ref="H15:H30" si="0">D15+E15-F15-G15</f>
        <v>0</v>
      </c>
      <c r="I15" s="428">
        <f t="shared" ref="I15:I30" si="1">H15</f>
        <v>0</v>
      </c>
      <c r="J15" s="1036">
        <v>0</v>
      </c>
      <c r="K15" s="1036">
        <v>0</v>
      </c>
      <c r="L15" s="813"/>
      <c r="M15" s="428">
        <f t="shared" ref="M15:M30" si="2">I15+J15-K15-L15</f>
        <v>0</v>
      </c>
      <c r="N15" s="845">
        <f t="shared" ref="N15:N30" si="3">M15</f>
        <v>0</v>
      </c>
      <c r="O15" s="1036">
        <v>0</v>
      </c>
      <c r="P15" s="1036">
        <v>0</v>
      </c>
      <c r="Q15" s="813"/>
      <c r="R15" s="847">
        <f t="shared" ref="R15:R30" si="4">N15+O15-P15-Q15</f>
        <v>0</v>
      </c>
      <c r="S15" s="847">
        <f t="shared" ref="S15:S30" si="5">R15</f>
        <v>0</v>
      </c>
      <c r="T15" s="1036">
        <v>0</v>
      </c>
      <c r="U15" s="1036">
        <v>0</v>
      </c>
      <c r="V15" s="813"/>
      <c r="W15" s="847">
        <f t="shared" ref="W15:W30" si="6">S15+T15-U15-V15</f>
        <v>0</v>
      </c>
      <c r="X15" s="847">
        <f t="shared" ref="X15:X30" si="7">W15</f>
        <v>0</v>
      </c>
      <c r="Y15" s="1038">
        <v>0</v>
      </c>
      <c r="Z15" s="1038">
        <v>0</v>
      </c>
      <c r="AA15" s="813"/>
      <c r="AB15" s="847">
        <f t="shared" ref="AB15:AB30" si="8">X15+Y15-Z15-AA15</f>
        <v>0</v>
      </c>
    </row>
    <row r="16" spans="1:29" x14ac:dyDescent="0.3">
      <c r="B16" s="448">
        <f t="shared" ref="B16:B30" si="9">B15+1</f>
        <v>3</v>
      </c>
      <c r="C16" s="450" t="s">
        <v>847</v>
      </c>
      <c r="D16" s="1037">
        <v>0</v>
      </c>
      <c r="E16" s="1037">
        <v>0</v>
      </c>
      <c r="F16" s="1037">
        <v>0</v>
      </c>
      <c r="G16" s="814"/>
      <c r="H16" s="451">
        <f t="shared" si="0"/>
        <v>0</v>
      </c>
      <c r="I16" s="428">
        <f t="shared" si="1"/>
        <v>0</v>
      </c>
      <c r="J16" s="1037">
        <v>0</v>
      </c>
      <c r="K16" s="1037">
        <v>0</v>
      </c>
      <c r="L16" s="814"/>
      <c r="M16" s="428">
        <f t="shared" si="2"/>
        <v>0</v>
      </c>
      <c r="N16" s="845">
        <f t="shared" si="3"/>
        <v>0</v>
      </c>
      <c r="O16" s="1037">
        <v>0</v>
      </c>
      <c r="P16" s="1037">
        <v>0</v>
      </c>
      <c r="Q16" s="814"/>
      <c r="R16" s="847">
        <f t="shared" si="4"/>
        <v>0</v>
      </c>
      <c r="S16" s="847">
        <f t="shared" si="5"/>
        <v>0</v>
      </c>
      <c r="T16" s="1037">
        <v>0</v>
      </c>
      <c r="U16" s="1037">
        <v>0</v>
      </c>
      <c r="V16" s="814"/>
      <c r="W16" s="847">
        <f t="shared" si="6"/>
        <v>0</v>
      </c>
      <c r="X16" s="847">
        <f t="shared" si="7"/>
        <v>0</v>
      </c>
      <c r="Y16" s="1039">
        <v>0</v>
      </c>
      <c r="Z16" s="1039">
        <v>0</v>
      </c>
      <c r="AA16" s="814"/>
      <c r="AB16" s="847">
        <f t="shared" si="8"/>
        <v>0</v>
      </c>
    </row>
    <row r="17" spans="2:32" x14ac:dyDescent="0.3">
      <c r="B17" s="448">
        <f t="shared" si="9"/>
        <v>4</v>
      </c>
      <c r="C17" s="450" t="s">
        <v>848</v>
      </c>
      <c r="D17" s="1036">
        <v>0</v>
      </c>
      <c r="E17" s="1036">
        <v>0</v>
      </c>
      <c r="F17" s="1036">
        <v>0</v>
      </c>
      <c r="G17" s="813"/>
      <c r="H17" s="451">
        <f t="shared" si="0"/>
        <v>0</v>
      </c>
      <c r="I17" s="428">
        <f t="shared" si="1"/>
        <v>0</v>
      </c>
      <c r="J17" s="1036">
        <v>0</v>
      </c>
      <c r="K17" s="1036">
        <v>0</v>
      </c>
      <c r="L17" s="813"/>
      <c r="M17" s="428">
        <f t="shared" si="2"/>
        <v>0</v>
      </c>
      <c r="N17" s="845">
        <f t="shared" si="3"/>
        <v>0</v>
      </c>
      <c r="O17" s="1036">
        <v>0</v>
      </c>
      <c r="P17" s="1036">
        <v>0</v>
      </c>
      <c r="Q17" s="813"/>
      <c r="R17" s="847">
        <f t="shared" si="4"/>
        <v>0</v>
      </c>
      <c r="S17" s="847">
        <f t="shared" si="5"/>
        <v>0</v>
      </c>
      <c r="T17" s="1036">
        <v>0</v>
      </c>
      <c r="U17" s="1036">
        <v>0</v>
      </c>
      <c r="V17" s="813"/>
      <c r="W17" s="847">
        <f t="shared" si="6"/>
        <v>0</v>
      </c>
      <c r="X17" s="847">
        <f t="shared" si="7"/>
        <v>0</v>
      </c>
      <c r="Y17" s="1038">
        <v>0</v>
      </c>
      <c r="Z17" s="1038">
        <v>0</v>
      </c>
      <c r="AA17" s="813"/>
      <c r="AB17" s="847">
        <f t="shared" si="8"/>
        <v>0</v>
      </c>
    </row>
    <row r="18" spans="2:32" x14ac:dyDescent="0.3">
      <c r="B18" s="448">
        <f t="shared" si="9"/>
        <v>5</v>
      </c>
      <c r="C18" s="450" t="s">
        <v>849</v>
      </c>
      <c r="D18" s="1036">
        <v>0</v>
      </c>
      <c r="E18" s="1036">
        <v>0</v>
      </c>
      <c r="F18" s="1036">
        <v>0</v>
      </c>
      <c r="G18" s="813"/>
      <c r="H18" s="451">
        <f t="shared" si="0"/>
        <v>0</v>
      </c>
      <c r="I18" s="428">
        <f t="shared" si="1"/>
        <v>0</v>
      </c>
      <c r="J18" s="1036">
        <v>99.5</v>
      </c>
      <c r="K18" s="1036">
        <v>0</v>
      </c>
      <c r="L18" s="813"/>
      <c r="M18" s="428">
        <f t="shared" si="2"/>
        <v>99.5</v>
      </c>
      <c r="N18" s="845">
        <f t="shared" si="3"/>
        <v>99.5</v>
      </c>
      <c r="O18" s="1036">
        <v>0</v>
      </c>
      <c r="P18" s="1036">
        <v>0</v>
      </c>
      <c r="Q18" s="813"/>
      <c r="R18" s="847">
        <f t="shared" si="4"/>
        <v>99.5</v>
      </c>
      <c r="S18" s="847">
        <f t="shared" si="5"/>
        <v>99.5</v>
      </c>
      <c r="T18" s="1036">
        <v>0</v>
      </c>
      <c r="U18" s="1036">
        <v>0</v>
      </c>
      <c r="V18" s="813"/>
      <c r="W18" s="847">
        <f t="shared" si="6"/>
        <v>99.5</v>
      </c>
      <c r="X18" s="847">
        <f t="shared" si="7"/>
        <v>99.5</v>
      </c>
      <c r="Y18" s="1038">
        <v>0</v>
      </c>
      <c r="Z18" s="1038">
        <v>0</v>
      </c>
      <c r="AA18" s="813"/>
      <c r="AB18" s="847">
        <f t="shared" si="8"/>
        <v>99.5</v>
      </c>
    </row>
    <row r="19" spans="2:32" x14ac:dyDescent="0.3">
      <c r="B19" s="448">
        <f t="shared" si="9"/>
        <v>6</v>
      </c>
      <c r="C19" s="450" t="s">
        <v>256</v>
      </c>
      <c r="D19" s="1036">
        <v>0</v>
      </c>
      <c r="E19" s="1036">
        <v>0</v>
      </c>
      <c r="F19" s="1036">
        <v>0</v>
      </c>
      <c r="G19" s="813"/>
      <c r="H19" s="451">
        <f t="shared" si="0"/>
        <v>0</v>
      </c>
      <c r="I19" s="428">
        <f t="shared" si="1"/>
        <v>0</v>
      </c>
      <c r="J19" s="1036">
        <v>0</v>
      </c>
      <c r="K19" s="1036">
        <v>0</v>
      </c>
      <c r="L19" s="813"/>
      <c r="M19" s="428">
        <f t="shared" si="2"/>
        <v>0</v>
      </c>
      <c r="N19" s="845">
        <f t="shared" si="3"/>
        <v>0</v>
      </c>
      <c r="O19" s="1036">
        <v>0</v>
      </c>
      <c r="P19" s="1036">
        <v>0</v>
      </c>
      <c r="Q19" s="813"/>
      <c r="R19" s="847">
        <f t="shared" si="4"/>
        <v>0</v>
      </c>
      <c r="S19" s="847">
        <f t="shared" si="5"/>
        <v>0</v>
      </c>
      <c r="T19" s="1036">
        <v>0</v>
      </c>
      <c r="U19" s="1036">
        <v>0</v>
      </c>
      <c r="V19" s="813"/>
      <c r="W19" s="847">
        <f t="shared" si="6"/>
        <v>0</v>
      </c>
      <c r="X19" s="847">
        <f t="shared" si="7"/>
        <v>0</v>
      </c>
      <c r="Y19" s="1038">
        <v>0</v>
      </c>
      <c r="Z19" s="1038">
        <v>0</v>
      </c>
      <c r="AA19" s="813"/>
      <c r="AB19" s="847">
        <f t="shared" si="8"/>
        <v>0</v>
      </c>
    </row>
    <row r="20" spans="2:32" x14ac:dyDescent="0.3">
      <c r="B20" s="448">
        <f t="shared" si="9"/>
        <v>7</v>
      </c>
      <c r="C20" s="450" t="s">
        <v>850</v>
      </c>
      <c r="D20" s="1036">
        <v>0</v>
      </c>
      <c r="E20" s="1036">
        <v>0</v>
      </c>
      <c r="F20" s="1036">
        <v>0</v>
      </c>
      <c r="G20" s="815"/>
      <c r="H20" s="451">
        <f t="shared" si="0"/>
        <v>0</v>
      </c>
      <c r="I20" s="428">
        <f t="shared" si="1"/>
        <v>0</v>
      </c>
      <c r="J20" s="1036">
        <v>0</v>
      </c>
      <c r="K20" s="1036">
        <v>0</v>
      </c>
      <c r="L20" s="815"/>
      <c r="M20" s="428">
        <f t="shared" si="2"/>
        <v>0</v>
      </c>
      <c r="N20" s="845">
        <f t="shared" si="3"/>
        <v>0</v>
      </c>
      <c r="O20" s="1036">
        <v>0</v>
      </c>
      <c r="P20" s="1036">
        <v>0</v>
      </c>
      <c r="Q20" s="815"/>
      <c r="R20" s="847">
        <f t="shared" si="4"/>
        <v>0</v>
      </c>
      <c r="S20" s="847">
        <f t="shared" si="5"/>
        <v>0</v>
      </c>
      <c r="T20" s="1036">
        <v>0</v>
      </c>
      <c r="U20" s="1036">
        <v>0</v>
      </c>
      <c r="V20" s="815"/>
      <c r="W20" s="847">
        <f t="shared" si="6"/>
        <v>0</v>
      </c>
      <c r="X20" s="847">
        <f t="shared" si="7"/>
        <v>0</v>
      </c>
      <c r="Y20" s="1038">
        <v>0</v>
      </c>
      <c r="Z20" s="1038">
        <v>0</v>
      </c>
      <c r="AA20" s="815"/>
      <c r="AB20" s="847">
        <f t="shared" si="8"/>
        <v>0</v>
      </c>
    </row>
    <row r="21" spans="2:32" x14ac:dyDescent="0.3">
      <c r="B21" s="448">
        <f t="shared" si="9"/>
        <v>8</v>
      </c>
      <c r="C21" s="450" t="s">
        <v>851</v>
      </c>
      <c r="D21" s="1036">
        <v>0</v>
      </c>
      <c r="E21" s="1036">
        <v>0</v>
      </c>
      <c r="F21" s="1036">
        <v>0</v>
      </c>
      <c r="G21" s="815"/>
      <c r="H21" s="451">
        <f t="shared" si="0"/>
        <v>0</v>
      </c>
      <c r="I21" s="428">
        <f t="shared" si="1"/>
        <v>0</v>
      </c>
      <c r="J21" s="1036">
        <v>0</v>
      </c>
      <c r="K21" s="1036">
        <v>0</v>
      </c>
      <c r="L21" s="815"/>
      <c r="M21" s="428">
        <f t="shared" si="2"/>
        <v>0</v>
      </c>
      <c r="N21" s="845">
        <f t="shared" si="3"/>
        <v>0</v>
      </c>
      <c r="O21" s="1036">
        <v>0</v>
      </c>
      <c r="P21" s="1036">
        <v>0</v>
      </c>
      <c r="Q21" s="815"/>
      <c r="R21" s="847">
        <f t="shared" si="4"/>
        <v>0</v>
      </c>
      <c r="S21" s="847">
        <f t="shared" si="5"/>
        <v>0</v>
      </c>
      <c r="T21" s="1036">
        <v>0</v>
      </c>
      <c r="U21" s="1036">
        <v>0</v>
      </c>
      <c r="V21" s="815"/>
      <c r="W21" s="847">
        <f t="shared" si="6"/>
        <v>0</v>
      </c>
      <c r="X21" s="847">
        <f t="shared" si="7"/>
        <v>0</v>
      </c>
      <c r="Y21" s="1038">
        <v>0</v>
      </c>
      <c r="Z21" s="1038">
        <v>0</v>
      </c>
      <c r="AA21" s="815"/>
      <c r="AB21" s="847">
        <f t="shared" si="8"/>
        <v>0</v>
      </c>
    </row>
    <row r="22" spans="2:32" x14ac:dyDescent="0.3">
      <c r="B22" s="448">
        <f t="shared" si="9"/>
        <v>9</v>
      </c>
      <c r="C22" s="450" t="s">
        <v>852</v>
      </c>
      <c r="D22" s="1036">
        <v>0</v>
      </c>
      <c r="E22" s="1036">
        <v>0</v>
      </c>
      <c r="F22" s="1036">
        <v>0</v>
      </c>
      <c r="G22" s="815"/>
      <c r="H22" s="451">
        <f t="shared" si="0"/>
        <v>0</v>
      </c>
      <c r="I22" s="428">
        <f t="shared" si="1"/>
        <v>0</v>
      </c>
      <c r="J22" s="1036">
        <v>0</v>
      </c>
      <c r="K22" s="1036">
        <v>0</v>
      </c>
      <c r="L22" s="815"/>
      <c r="M22" s="428">
        <f t="shared" si="2"/>
        <v>0</v>
      </c>
      <c r="N22" s="845">
        <f t="shared" si="3"/>
        <v>0</v>
      </c>
      <c r="O22" s="1036">
        <v>0</v>
      </c>
      <c r="P22" s="1036">
        <v>0</v>
      </c>
      <c r="Q22" s="815"/>
      <c r="R22" s="847">
        <f t="shared" si="4"/>
        <v>0</v>
      </c>
      <c r="S22" s="847">
        <f t="shared" si="5"/>
        <v>0</v>
      </c>
      <c r="T22" s="1036">
        <v>0</v>
      </c>
      <c r="U22" s="1036">
        <v>0</v>
      </c>
      <c r="V22" s="815"/>
      <c r="W22" s="847">
        <f t="shared" si="6"/>
        <v>0</v>
      </c>
      <c r="X22" s="847">
        <f t="shared" si="7"/>
        <v>0</v>
      </c>
      <c r="Y22" s="1038">
        <v>0</v>
      </c>
      <c r="Z22" s="1038">
        <v>0</v>
      </c>
      <c r="AA22" s="815"/>
      <c r="AB22" s="847">
        <f t="shared" si="8"/>
        <v>0</v>
      </c>
    </row>
    <row r="23" spans="2:32" x14ac:dyDescent="0.3">
      <c r="B23" s="448">
        <f t="shared" si="9"/>
        <v>10</v>
      </c>
      <c r="C23" s="450" t="s">
        <v>259</v>
      </c>
      <c r="D23" s="1036">
        <v>0</v>
      </c>
      <c r="E23" s="1036">
        <v>0</v>
      </c>
      <c r="F23" s="1036">
        <v>0</v>
      </c>
      <c r="G23" s="815"/>
      <c r="H23" s="451">
        <f t="shared" si="0"/>
        <v>0</v>
      </c>
      <c r="I23" s="428">
        <f t="shared" si="1"/>
        <v>0</v>
      </c>
      <c r="J23" s="1036">
        <v>0</v>
      </c>
      <c r="K23" s="1036">
        <v>0</v>
      </c>
      <c r="L23" s="815"/>
      <c r="M23" s="428">
        <f t="shared" si="2"/>
        <v>0</v>
      </c>
      <c r="N23" s="845">
        <f t="shared" si="3"/>
        <v>0</v>
      </c>
      <c r="O23" s="1036">
        <v>0</v>
      </c>
      <c r="P23" s="1036">
        <v>0</v>
      </c>
      <c r="Q23" s="815"/>
      <c r="R23" s="847">
        <f t="shared" si="4"/>
        <v>0</v>
      </c>
      <c r="S23" s="847">
        <f t="shared" si="5"/>
        <v>0</v>
      </c>
      <c r="T23" s="1036">
        <v>0</v>
      </c>
      <c r="U23" s="1036">
        <v>0</v>
      </c>
      <c r="V23" s="815"/>
      <c r="W23" s="847">
        <f t="shared" si="6"/>
        <v>0</v>
      </c>
      <c r="X23" s="847">
        <f t="shared" si="7"/>
        <v>0</v>
      </c>
      <c r="Y23" s="1038">
        <v>0</v>
      </c>
      <c r="Z23" s="1038">
        <v>0</v>
      </c>
      <c r="AA23" s="815"/>
      <c r="AB23" s="847">
        <f t="shared" si="8"/>
        <v>0</v>
      </c>
    </row>
    <row r="24" spans="2:32" x14ac:dyDescent="0.3">
      <c r="B24" s="448">
        <f t="shared" si="9"/>
        <v>11</v>
      </c>
      <c r="C24" s="450" t="s">
        <v>260</v>
      </c>
      <c r="D24" s="1036">
        <v>0</v>
      </c>
      <c r="E24" s="1036">
        <v>0</v>
      </c>
      <c r="F24" s="1036">
        <v>0</v>
      </c>
      <c r="G24" s="815"/>
      <c r="H24" s="451">
        <f t="shared" si="0"/>
        <v>0</v>
      </c>
      <c r="I24" s="428">
        <f t="shared" si="1"/>
        <v>0</v>
      </c>
      <c r="J24" s="1036">
        <v>0</v>
      </c>
      <c r="K24" s="1036">
        <v>0</v>
      </c>
      <c r="L24" s="815"/>
      <c r="M24" s="428">
        <f t="shared" si="2"/>
        <v>0</v>
      </c>
      <c r="N24" s="845">
        <f t="shared" si="3"/>
        <v>0</v>
      </c>
      <c r="O24" s="1036">
        <v>0</v>
      </c>
      <c r="P24" s="1036">
        <v>0</v>
      </c>
      <c r="Q24" s="815"/>
      <c r="R24" s="847">
        <f t="shared" si="4"/>
        <v>0</v>
      </c>
      <c r="S24" s="847">
        <f t="shared" si="5"/>
        <v>0</v>
      </c>
      <c r="T24" s="1036">
        <v>0</v>
      </c>
      <c r="U24" s="1036">
        <v>0</v>
      </c>
      <c r="V24" s="815"/>
      <c r="W24" s="847">
        <f t="shared" si="6"/>
        <v>0</v>
      </c>
      <c r="X24" s="847">
        <f t="shared" si="7"/>
        <v>0</v>
      </c>
      <c r="Y24" s="1038">
        <v>0</v>
      </c>
      <c r="Z24" s="1038">
        <v>0</v>
      </c>
      <c r="AA24" s="815"/>
      <c r="AB24" s="847">
        <f t="shared" si="8"/>
        <v>0</v>
      </c>
    </row>
    <row r="25" spans="2:32" x14ac:dyDescent="0.3">
      <c r="B25" s="448">
        <f t="shared" si="9"/>
        <v>12</v>
      </c>
      <c r="C25" s="450" t="s">
        <v>261</v>
      </c>
      <c r="D25" s="1036">
        <v>0</v>
      </c>
      <c r="E25" s="1036">
        <v>0</v>
      </c>
      <c r="F25" s="1036">
        <v>0</v>
      </c>
      <c r="G25" s="815"/>
      <c r="H25" s="451">
        <f t="shared" si="0"/>
        <v>0</v>
      </c>
      <c r="I25" s="428">
        <f t="shared" si="1"/>
        <v>0</v>
      </c>
      <c r="J25" s="1036">
        <v>0</v>
      </c>
      <c r="K25" s="1036">
        <v>0</v>
      </c>
      <c r="L25" s="815"/>
      <c r="M25" s="428">
        <f t="shared" si="2"/>
        <v>0</v>
      </c>
      <c r="N25" s="845">
        <f t="shared" si="3"/>
        <v>0</v>
      </c>
      <c r="O25" s="1036">
        <v>0</v>
      </c>
      <c r="P25" s="1036">
        <v>0</v>
      </c>
      <c r="Q25" s="815"/>
      <c r="R25" s="847">
        <f t="shared" si="4"/>
        <v>0</v>
      </c>
      <c r="S25" s="847">
        <f t="shared" si="5"/>
        <v>0</v>
      </c>
      <c r="T25" s="1036">
        <v>0</v>
      </c>
      <c r="U25" s="1036">
        <v>0</v>
      </c>
      <c r="V25" s="815"/>
      <c r="W25" s="847">
        <f t="shared" si="6"/>
        <v>0</v>
      </c>
      <c r="X25" s="847">
        <f t="shared" si="7"/>
        <v>0</v>
      </c>
      <c r="Y25" s="1038">
        <v>0</v>
      </c>
      <c r="Z25" s="1038">
        <v>0</v>
      </c>
      <c r="AA25" s="815"/>
      <c r="AB25" s="847">
        <f t="shared" si="8"/>
        <v>0</v>
      </c>
    </row>
    <row r="26" spans="2:32" x14ac:dyDescent="0.3">
      <c r="B26" s="448">
        <f t="shared" si="9"/>
        <v>13</v>
      </c>
      <c r="C26" s="450" t="s">
        <v>899</v>
      </c>
      <c r="D26" s="1036">
        <v>0</v>
      </c>
      <c r="E26" s="1036">
        <v>0</v>
      </c>
      <c r="F26" s="1036">
        <v>0</v>
      </c>
      <c r="G26" s="815"/>
      <c r="H26" s="451">
        <f t="shared" si="0"/>
        <v>0</v>
      </c>
      <c r="I26" s="428">
        <f t="shared" si="1"/>
        <v>0</v>
      </c>
      <c r="J26" s="1036">
        <v>0</v>
      </c>
      <c r="K26" s="1036">
        <v>0</v>
      </c>
      <c r="L26" s="815"/>
      <c r="M26" s="428">
        <f t="shared" si="2"/>
        <v>0</v>
      </c>
      <c r="N26" s="845">
        <f t="shared" si="3"/>
        <v>0</v>
      </c>
      <c r="O26" s="1036">
        <v>0</v>
      </c>
      <c r="P26" s="1036">
        <v>0</v>
      </c>
      <c r="Q26" s="815"/>
      <c r="R26" s="847">
        <f t="shared" si="4"/>
        <v>0</v>
      </c>
      <c r="S26" s="847">
        <f t="shared" si="5"/>
        <v>0</v>
      </c>
      <c r="T26" s="1036">
        <v>0</v>
      </c>
      <c r="U26" s="1036">
        <v>0</v>
      </c>
      <c r="V26" s="815"/>
      <c r="W26" s="847">
        <f t="shared" si="6"/>
        <v>0</v>
      </c>
      <c r="X26" s="847">
        <f t="shared" si="7"/>
        <v>0</v>
      </c>
      <c r="Y26" s="1038">
        <v>0</v>
      </c>
      <c r="Z26" s="1038">
        <v>0</v>
      </c>
      <c r="AA26" s="815"/>
      <c r="AB26" s="847">
        <f t="shared" si="8"/>
        <v>0</v>
      </c>
    </row>
    <row r="27" spans="2:32" x14ac:dyDescent="0.3">
      <c r="B27" s="448">
        <f t="shared" si="9"/>
        <v>14</v>
      </c>
      <c r="C27" s="450" t="s">
        <v>900</v>
      </c>
      <c r="D27" s="1036">
        <v>0</v>
      </c>
      <c r="E27" s="1036">
        <v>0</v>
      </c>
      <c r="F27" s="1036">
        <v>0</v>
      </c>
      <c r="G27" s="815"/>
      <c r="H27" s="451">
        <f t="shared" si="0"/>
        <v>0</v>
      </c>
      <c r="I27" s="428">
        <f t="shared" si="1"/>
        <v>0</v>
      </c>
      <c r="J27" s="1036">
        <v>0</v>
      </c>
      <c r="K27" s="1036">
        <v>0</v>
      </c>
      <c r="L27" s="815"/>
      <c r="M27" s="428">
        <f t="shared" si="2"/>
        <v>0</v>
      </c>
      <c r="N27" s="845">
        <f t="shared" si="3"/>
        <v>0</v>
      </c>
      <c r="O27" s="1036">
        <v>0</v>
      </c>
      <c r="P27" s="1036">
        <v>0</v>
      </c>
      <c r="Q27" s="815"/>
      <c r="R27" s="847">
        <f t="shared" si="4"/>
        <v>0</v>
      </c>
      <c r="S27" s="847">
        <f t="shared" si="5"/>
        <v>0</v>
      </c>
      <c r="T27" s="1036">
        <v>0</v>
      </c>
      <c r="U27" s="1036">
        <v>0</v>
      </c>
      <c r="V27" s="815"/>
      <c r="W27" s="847">
        <f t="shared" si="6"/>
        <v>0</v>
      </c>
      <c r="X27" s="847">
        <f t="shared" si="7"/>
        <v>0</v>
      </c>
      <c r="Y27" s="1038">
        <v>0</v>
      </c>
      <c r="Z27" s="1038">
        <v>0</v>
      </c>
      <c r="AA27" s="815"/>
      <c r="AB27" s="847">
        <f t="shared" si="8"/>
        <v>0</v>
      </c>
    </row>
    <row r="28" spans="2:32" x14ac:dyDescent="0.3">
      <c r="B28" s="448">
        <f t="shared" si="9"/>
        <v>15</v>
      </c>
      <c r="C28" s="450" t="s">
        <v>901</v>
      </c>
      <c r="D28" s="1036">
        <v>0</v>
      </c>
      <c r="E28" s="1036">
        <v>0</v>
      </c>
      <c r="F28" s="1036">
        <v>0</v>
      </c>
      <c r="G28" s="815"/>
      <c r="H28" s="451">
        <f t="shared" si="0"/>
        <v>0</v>
      </c>
      <c r="I28" s="428">
        <f t="shared" si="1"/>
        <v>0</v>
      </c>
      <c r="J28" s="1036">
        <v>0</v>
      </c>
      <c r="K28" s="1036">
        <v>0</v>
      </c>
      <c r="L28" s="815"/>
      <c r="M28" s="428">
        <f t="shared" si="2"/>
        <v>0</v>
      </c>
      <c r="N28" s="845">
        <f t="shared" si="3"/>
        <v>0</v>
      </c>
      <c r="O28" s="1036">
        <v>0</v>
      </c>
      <c r="P28" s="1036">
        <v>0</v>
      </c>
      <c r="Q28" s="815"/>
      <c r="R28" s="847">
        <f t="shared" si="4"/>
        <v>0</v>
      </c>
      <c r="S28" s="847">
        <f t="shared" si="5"/>
        <v>0</v>
      </c>
      <c r="T28" s="1036">
        <v>0</v>
      </c>
      <c r="U28" s="1036">
        <v>0</v>
      </c>
      <c r="V28" s="815"/>
      <c r="W28" s="847">
        <f t="shared" si="6"/>
        <v>0</v>
      </c>
      <c r="X28" s="847">
        <f t="shared" si="7"/>
        <v>0</v>
      </c>
      <c r="Y28" s="1038">
        <v>0</v>
      </c>
      <c r="Z28" s="1038">
        <v>0</v>
      </c>
      <c r="AA28" s="815"/>
      <c r="AB28" s="847">
        <f t="shared" si="8"/>
        <v>0</v>
      </c>
    </row>
    <row r="29" spans="2:32" x14ac:dyDescent="0.3">
      <c r="B29" s="448">
        <f t="shared" si="9"/>
        <v>16</v>
      </c>
      <c r="C29" s="450" t="s">
        <v>853</v>
      </c>
      <c r="D29" s="1036">
        <v>0</v>
      </c>
      <c r="E29" s="1036">
        <v>0</v>
      </c>
      <c r="F29" s="1036">
        <v>0</v>
      </c>
      <c r="G29" s="815"/>
      <c r="H29" s="451">
        <f t="shared" si="0"/>
        <v>0</v>
      </c>
      <c r="I29" s="428">
        <f t="shared" si="1"/>
        <v>0</v>
      </c>
      <c r="J29" s="1036">
        <v>0</v>
      </c>
      <c r="K29" s="1036">
        <v>0</v>
      </c>
      <c r="L29" s="815"/>
      <c r="M29" s="428">
        <f t="shared" si="2"/>
        <v>0</v>
      </c>
      <c r="N29" s="845">
        <f t="shared" si="3"/>
        <v>0</v>
      </c>
      <c r="O29" s="1036">
        <v>0</v>
      </c>
      <c r="P29" s="1036">
        <v>0</v>
      </c>
      <c r="Q29" s="815"/>
      <c r="R29" s="847">
        <f t="shared" si="4"/>
        <v>0</v>
      </c>
      <c r="S29" s="847">
        <f t="shared" si="5"/>
        <v>0</v>
      </c>
      <c r="T29" s="1036">
        <v>0</v>
      </c>
      <c r="U29" s="1036">
        <v>0</v>
      </c>
      <c r="V29" s="815"/>
      <c r="W29" s="847">
        <f t="shared" si="6"/>
        <v>0</v>
      </c>
      <c r="X29" s="847">
        <f t="shared" si="7"/>
        <v>0</v>
      </c>
      <c r="Y29" s="1038">
        <v>0</v>
      </c>
      <c r="Z29" s="1038">
        <v>0</v>
      </c>
      <c r="AA29" s="815"/>
      <c r="AB29" s="847">
        <f t="shared" si="8"/>
        <v>0</v>
      </c>
    </row>
    <row r="30" spans="2:32" x14ac:dyDescent="0.3">
      <c r="B30" s="448">
        <f t="shared" si="9"/>
        <v>17</v>
      </c>
      <c r="C30" s="450" t="s">
        <v>902</v>
      </c>
      <c r="D30" s="1036">
        <v>0</v>
      </c>
      <c r="E30" s="1036">
        <v>0</v>
      </c>
      <c r="F30" s="1036">
        <v>0</v>
      </c>
      <c r="G30" s="815"/>
      <c r="H30" s="451">
        <f t="shared" si="0"/>
        <v>0</v>
      </c>
      <c r="I30" s="428">
        <f t="shared" si="1"/>
        <v>0</v>
      </c>
      <c r="J30" s="1036">
        <v>0</v>
      </c>
      <c r="K30" s="1036">
        <v>0</v>
      </c>
      <c r="L30" s="815"/>
      <c r="M30" s="428">
        <f t="shared" si="2"/>
        <v>0</v>
      </c>
      <c r="N30" s="845">
        <f t="shared" si="3"/>
        <v>0</v>
      </c>
      <c r="O30" s="1036">
        <v>0</v>
      </c>
      <c r="P30" s="1036">
        <v>0</v>
      </c>
      <c r="Q30" s="815"/>
      <c r="R30" s="847">
        <f t="shared" si="4"/>
        <v>0</v>
      </c>
      <c r="S30" s="847">
        <f t="shared" si="5"/>
        <v>0</v>
      </c>
      <c r="T30" s="1036">
        <v>0</v>
      </c>
      <c r="U30" s="1036">
        <v>0</v>
      </c>
      <c r="V30" s="815"/>
      <c r="W30" s="847">
        <f t="shared" si="6"/>
        <v>0</v>
      </c>
      <c r="X30" s="847">
        <f t="shared" si="7"/>
        <v>0</v>
      </c>
      <c r="Y30" s="1038">
        <v>0</v>
      </c>
      <c r="Z30" s="1038">
        <v>0</v>
      </c>
      <c r="AA30" s="815"/>
      <c r="AB30" s="847">
        <f t="shared" si="8"/>
        <v>0</v>
      </c>
    </row>
    <row r="31" spans="2:32" ht="16" x14ac:dyDescent="0.3">
      <c r="B31" s="78"/>
      <c r="C31" s="92" t="s">
        <v>271</v>
      </c>
      <c r="D31" s="846">
        <f t="shared" ref="D31:G31" si="10">SUM(D14:D30)</f>
        <v>0</v>
      </c>
      <c r="E31" s="846">
        <f t="shared" si="10"/>
        <v>0</v>
      </c>
      <c r="F31" s="846">
        <f t="shared" si="10"/>
        <v>0</v>
      </c>
      <c r="G31" s="846">
        <f t="shared" si="10"/>
        <v>0</v>
      </c>
      <c r="H31" s="846">
        <f>SUM(H14:H30)</f>
        <v>0</v>
      </c>
      <c r="I31" s="846">
        <f t="shared" ref="I31:W31" si="11">SUM(I14:I30)</f>
        <v>0</v>
      </c>
      <c r="J31" s="846">
        <f t="shared" si="11"/>
        <v>99.5</v>
      </c>
      <c r="K31" s="846">
        <f t="shared" si="11"/>
        <v>0</v>
      </c>
      <c r="L31" s="846">
        <f t="shared" si="11"/>
        <v>0</v>
      </c>
      <c r="M31" s="846">
        <f t="shared" si="11"/>
        <v>99.5</v>
      </c>
      <c r="N31" s="846">
        <f t="shared" si="11"/>
        <v>99.5</v>
      </c>
      <c r="O31" s="846">
        <f t="shared" si="11"/>
        <v>0</v>
      </c>
      <c r="P31" s="846">
        <f t="shared" si="11"/>
        <v>0</v>
      </c>
      <c r="Q31" s="846">
        <f t="shared" si="11"/>
        <v>0</v>
      </c>
      <c r="R31" s="846">
        <f t="shared" si="11"/>
        <v>99.5</v>
      </c>
      <c r="S31" s="846">
        <f t="shared" si="11"/>
        <v>99.5</v>
      </c>
      <c r="T31" s="846">
        <f t="shared" si="11"/>
        <v>0</v>
      </c>
      <c r="U31" s="846">
        <f t="shared" si="11"/>
        <v>0</v>
      </c>
      <c r="V31" s="846">
        <f t="shared" si="11"/>
        <v>0</v>
      </c>
      <c r="W31" s="846">
        <f t="shared" si="11"/>
        <v>99.5</v>
      </c>
      <c r="X31" s="846">
        <f t="shared" ref="X31" si="12">SUM(X14:X30)</f>
        <v>99.5</v>
      </c>
      <c r="Y31" s="846">
        <f t="shared" ref="Y31" si="13">SUM(Y14:Y30)</f>
        <v>0</v>
      </c>
      <c r="Z31" s="846">
        <f t="shared" ref="Z31" si="14">SUM(Z14:Z30)</f>
        <v>0</v>
      </c>
      <c r="AA31" s="846">
        <f t="shared" ref="AA31" si="15">SUM(AA14:AA30)</f>
        <v>0</v>
      </c>
      <c r="AB31" s="846">
        <f t="shared" ref="AB31" si="16">SUM(AB14:AB30)</f>
        <v>99.5</v>
      </c>
      <c r="AC31" s="258"/>
      <c r="AD31" s="258"/>
      <c r="AE31" s="258"/>
      <c r="AF31" s="258"/>
    </row>
    <row r="32" spans="2:32" ht="16" x14ac:dyDescent="0.3">
      <c r="B32" s="258"/>
      <c r="C32" s="258"/>
      <c r="D32" s="258"/>
      <c r="E32" s="258"/>
      <c r="F32" s="258"/>
      <c r="G32" s="258"/>
      <c r="H32" s="258"/>
      <c r="I32" s="258"/>
      <c r="J32" s="258"/>
      <c r="K32" s="258"/>
      <c r="L32" s="258"/>
      <c r="M32" s="258"/>
      <c r="N32" s="258"/>
      <c r="O32" s="258"/>
      <c r="P32" s="258"/>
      <c r="Q32" s="258"/>
      <c r="R32" s="258"/>
      <c r="S32" s="258"/>
      <c r="T32" s="258"/>
    </row>
    <row r="33" spans="2:29" ht="16" x14ac:dyDescent="0.3">
      <c r="B33" s="258"/>
      <c r="C33" s="258"/>
      <c r="D33" s="258"/>
      <c r="E33" s="258"/>
      <c r="F33" s="258"/>
      <c r="G33" s="258"/>
      <c r="H33" s="258"/>
      <c r="I33" s="258"/>
      <c r="J33" s="258"/>
      <c r="K33" s="258"/>
      <c r="L33" s="258"/>
      <c r="M33" s="258"/>
      <c r="N33" s="258"/>
      <c r="O33" s="258"/>
      <c r="P33" s="258"/>
      <c r="Q33" s="258"/>
      <c r="R33" s="258"/>
      <c r="S33" s="258"/>
      <c r="T33" s="258"/>
    </row>
    <row r="35" spans="2:29" x14ac:dyDescent="0.3">
      <c r="B35" s="802" t="s">
        <v>272</v>
      </c>
    </row>
    <row r="36" spans="2:29" ht="15" customHeight="1" x14ac:dyDescent="0.3">
      <c r="B36" s="258"/>
      <c r="C36" s="260"/>
      <c r="D36" s="260"/>
      <c r="E36" s="260"/>
      <c r="F36" s="260"/>
      <c r="G36" s="260"/>
      <c r="H36" s="260"/>
      <c r="I36" s="260"/>
      <c r="J36" s="260"/>
      <c r="K36" s="260"/>
      <c r="L36" s="260"/>
      <c r="M36" s="260"/>
      <c r="N36" s="258"/>
      <c r="O36" s="258"/>
      <c r="P36" s="258"/>
      <c r="Q36" s="258"/>
      <c r="R36" s="258"/>
      <c r="S36" s="258"/>
      <c r="T36" s="258"/>
      <c r="U36" s="258"/>
      <c r="V36" s="258"/>
      <c r="W36" s="258"/>
      <c r="X36" s="258"/>
      <c r="Y36" s="258"/>
      <c r="Z36" s="258"/>
      <c r="AA36" s="258"/>
      <c r="AB36" s="258"/>
    </row>
    <row r="37" spans="2:29" ht="29.4" customHeight="1" x14ac:dyDescent="0.3">
      <c r="B37" s="258"/>
      <c r="C37" s="816"/>
      <c r="D37" s="260"/>
      <c r="E37" s="260"/>
      <c r="F37" s="260"/>
      <c r="G37" s="260"/>
      <c r="H37" s="260"/>
      <c r="I37" s="260"/>
      <c r="J37" s="260"/>
      <c r="K37" s="260"/>
      <c r="L37" s="260"/>
      <c r="M37" s="260"/>
      <c r="N37" s="258"/>
      <c r="O37" s="258"/>
      <c r="P37" s="258"/>
      <c r="Q37" s="258"/>
      <c r="R37" s="258"/>
      <c r="S37" s="258"/>
      <c r="T37" s="258"/>
      <c r="U37" s="258"/>
      <c r="V37" s="258"/>
      <c r="X37" s="258"/>
      <c r="Y37" s="258"/>
      <c r="Z37" s="258"/>
      <c r="AA37" s="258"/>
      <c r="AB37" s="255" t="s">
        <v>10</v>
      </c>
    </row>
    <row r="38" spans="2:29" x14ac:dyDescent="0.3">
      <c r="B38" s="1639" t="s">
        <v>340</v>
      </c>
      <c r="C38" s="1639" t="s">
        <v>38</v>
      </c>
      <c r="D38" s="1770" t="s">
        <v>1067</v>
      </c>
      <c r="E38" s="1771"/>
      <c r="F38" s="1771"/>
      <c r="G38" s="1771"/>
      <c r="H38" s="1772"/>
      <c r="I38" s="1758" t="s">
        <v>1068</v>
      </c>
      <c r="J38" s="1758"/>
      <c r="K38" s="1758"/>
      <c r="L38" s="1758"/>
      <c r="M38" s="1758"/>
      <c r="N38" s="1758" t="s">
        <v>1069</v>
      </c>
      <c r="O38" s="1758"/>
      <c r="P38" s="1758"/>
      <c r="Q38" s="1758"/>
      <c r="R38" s="1758"/>
      <c r="S38" s="1758" t="s">
        <v>1070</v>
      </c>
      <c r="T38" s="1758"/>
      <c r="U38" s="1758"/>
      <c r="V38" s="1758"/>
      <c r="W38" s="1758"/>
      <c r="X38" s="1758" t="s">
        <v>1071</v>
      </c>
      <c r="Y38" s="1758"/>
      <c r="Z38" s="1758"/>
      <c r="AA38" s="1758"/>
      <c r="AB38" s="1758"/>
    </row>
    <row r="39" spans="2:29" x14ac:dyDescent="0.3">
      <c r="B39" s="1639"/>
      <c r="C39" s="1639"/>
      <c r="D39" s="1762" t="s">
        <v>21</v>
      </c>
      <c r="E39" s="1763"/>
      <c r="F39" s="1763"/>
      <c r="G39" s="1763"/>
      <c r="H39" s="1763"/>
      <c r="I39" s="1762" t="s">
        <v>21</v>
      </c>
      <c r="J39" s="1763"/>
      <c r="K39" s="1763"/>
      <c r="L39" s="1763"/>
      <c r="M39" s="1763"/>
      <c r="N39" s="1762" t="s">
        <v>21</v>
      </c>
      <c r="O39" s="1763"/>
      <c r="P39" s="1763"/>
      <c r="Q39" s="1763"/>
      <c r="R39" s="1763"/>
      <c r="S39" s="1762" t="s">
        <v>21</v>
      </c>
      <c r="T39" s="1763"/>
      <c r="U39" s="1763"/>
      <c r="V39" s="1763"/>
      <c r="W39" s="1763"/>
      <c r="X39" s="1762" t="s">
        <v>21</v>
      </c>
      <c r="Y39" s="1763"/>
      <c r="Z39" s="1763"/>
      <c r="AA39" s="1763"/>
      <c r="AB39" s="1763"/>
    </row>
    <row r="40" spans="2:29" ht="56" x14ac:dyDescent="0.3">
      <c r="B40" s="1639"/>
      <c r="C40" s="1639"/>
      <c r="D40" s="803" t="s">
        <v>273</v>
      </c>
      <c r="E40" s="803" t="s">
        <v>268</v>
      </c>
      <c r="F40" s="259" t="s">
        <v>274</v>
      </c>
      <c r="G40" s="801" t="s">
        <v>586</v>
      </c>
      <c r="H40" s="803" t="s">
        <v>275</v>
      </c>
      <c r="I40" s="803" t="s">
        <v>273</v>
      </c>
      <c r="J40" s="803" t="s">
        <v>268</v>
      </c>
      <c r="K40" s="259" t="s">
        <v>274</v>
      </c>
      <c r="L40" s="801" t="s">
        <v>586</v>
      </c>
      <c r="M40" s="803" t="s">
        <v>275</v>
      </c>
      <c r="N40" s="803" t="s">
        <v>273</v>
      </c>
      <c r="O40" s="803" t="s">
        <v>268</v>
      </c>
      <c r="P40" s="259" t="s">
        <v>274</v>
      </c>
      <c r="Q40" s="801" t="s">
        <v>586</v>
      </c>
      <c r="R40" s="803" t="s">
        <v>275</v>
      </c>
      <c r="S40" s="803" t="s">
        <v>273</v>
      </c>
      <c r="T40" s="803" t="s">
        <v>268</v>
      </c>
      <c r="U40" s="259" t="s">
        <v>274</v>
      </c>
      <c r="V40" s="801" t="s">
        <v>586</v>
      </c>
      <c r="W40" s="803" t="s">
        <v>275</v>
      </c>
      <c r="X40" s="803" t="s">
        <v>273</v>
      </c>
      <c r="Y40" s="803" t="s">
        <v>268</v>
      </c>
      <c r="Z40" s="259" t="s">
        <v>274</v>
      </c>
      <c r="AA40" s="801" t="s">
        <v>586</v>
      </c>
      <c r="AB40" s="803" t="s">
        <v>275</v>
      </c>
    </row>
    <row r="41" spans="2:29" x14ac:dyDescent="0.3">
      <c r="B41" s="256"/>
      <c r="C41" s="256"/>
      <c r="D41" s="256" t="s">
        <v>82</v>
      </c>
      <c r="E41" s="256" t="s">
        <v>83</v>
      </c>
      <c r="F41" s="256" t="s">
        <v>459</v>
      </c>
      <c r="G41" s="256" t="s">
        <v>391</v>
      </c>
      <c r="H41" s="256" t="s">
        <v>587</v>
      </c>
      <c r="I41" s="256" t="s">
        <v>409</v>
      </c>
      <c r="J41" s="256" t="s">
        <v>508</v>
      </c>
      <c r="K41" s="256" t="s">
        <v>410</v>
      </c>
      <c r="L41" s="256" t="s">
        <v>411</v>
      </c>
      <c r="M41" s="256" t="s">
        <v>652</v>
      </c>
      <c r="N41" s="256" t="s">
        <v>588</v>
      </c>
      <c r="O41" s="256" t="s">
        <v>653</v>
      </c>
      <c r="P41" s="256" t="s">
        <v>589</v>
      </c>
      <c r="Q41" s="256" t="s">
        <v>590</v>
      </c>
      <c r="R41" s="256" t="s">
        <v>1152</v>
      </c>
      <c r="S41" s="256" t="s">
        <v>591</v>
      </c>
      <c r="T41" s="256" t="s">
        <v>592</v>
      </c>
      <c r="U41" s="256" t="s">
        <v>654</v>
      </c>
      <c r="V41" s="256" t="s">
        <v>593</v>
      </c>
      <c r="W41" s="256" t="s">
        <v>1153</v>
      </c>
      <c r="X41" s="256" t="s">
        <v>594</v>
      </c>
      <c r="Y41" s="256" t="s">
        <v>595</v>
      </c>
      <c r="Z41" s="256" t="s">
        <v>596</v>
      </c>
      <c r="AA41" s="256" t="s">
        <v>655</v>
      </c>
      <c r="AB41" s="256" t="s">
        <v>1154</v>
      </c>
    </row>
    <row r="42" spans="2:29" x14ac:dyDescent="0.3">
      <c r="B42" s="448">
        <v>1</v>
      </c>
      <c r="C42" s="450" t="s">
        <v>845</v>
      </c>
      <c r="D42" s="1036">
        <v>0</v>
      </c>
      <c r="E42" s="637">
        <f>IF((IFERROR(D42/((D14+E14)*90%),0))&lt;70%,MIN((MAX((D14+E14)*90%-D42,0)),(D14+E14/2)*$AC42),MAX((D14+E14)*90%-D42,0)/E$60)</f>
        <v>0</v>
      </c>
      <c r="F42" s="346">
        <f>IFERROR(IF(D42=0,0,D42/D14*F14),0)</f>
        <v>0</v>
      </c>
      <c r="G42" s="347"/>
      <c r="H42" s="346">
        <f>D42+E42-F42-G42</f>
        <v>0</v>
      </c>
      <c r="I42" s="343">
        <f>H42</f>
        <v>0</v>
      </c>
      <c r="J42" s="637">
        <f>IF((IFERROR(I42/((I14+J14)*90%),0))&lt;70%,MIN((MAX((I14+J14)*90%-I42,0)),(I14+J14/2)*$AC42),MAX((I14+J14)*90%-I42,0)/J$60)</f>
        <v>0</v>
      </c>
      <c r="K42" s="346">
        <f>IFERROR(IF(I42=0,0,I42/I14*K14),0)</f>
        <v>0</v>
      </c>
      <c r="L42" s="347"/>
      <c r="M42" s="343">
        <f t="shared" ref="M42:M58" si="17">I42+J42-K42-L42</f>
        <v>0</v>
      </c>
      <c r="N42" s="845">
        <f>M42</f>
        <v>0</v>
      </c>
      <c r="O42" s="637">
        <f>IF((IFERROR(N42/((N14+O14)*90%),0))&lt;70%,MIN((MAX((N14+O14)*90%-N42,0)),(N14+O14/2)*$AC42),MAX((N14+O14)*90%-N42,0)/O$60)</f>
        <v>0</v>
      </c>
      <c r="P42" s="346">
        <f>IFERROR(IF(N42=0,0,N42/N14*P14),0)</f>
        <v>0</v>
      </c>
      <c r="Q42" s="347"/>
      <c r="R42" s="346">
        <f>N42+O42-P42-Q42</f>
        <v>0</v>
      </c>
      <c r="S42" s="343">
        <f>R42</f>
        <v>0</v>
      </c>
      <c r="T42" s="637">
        <f>IF((IFERROR(S42/((S14+T14)*90%),0))&lt;70%,MIN((MAX((S14+T14)*90%-S42,0)),(S14+T14/2)*$AC42),MAX((S14+T14)*90%-S42,0)/T$60)</f>
        <v>0</v>
      </c>
      <c r="U42" s="346">
        <f>IFERROR(IF(S42=0,0,S42/S14*U14),0)</f>
        <v>0</v>
      </c>
      <c r="V42" s="347"/>
      <c r="W42" s="343">
        <f>S42+T42-U42-V42</f>
        <v>0</v>
      </c>
      <c r="X42" s="845">
        <f>W42</f>
        <v>0</v>
      </c>
      <c r="Y42" s="637">
        <f>IF((IFERROR(X42/((X14+Y14)*90%),0))&lt;70%,MIN((MAX((X14+Y14)*90%-X42,0)),(X14+Y14/2)*$AC42),MAX((X14+Y14)*90%-X42,0)/Y$60)</f>
        <v>0</v>
      </c>
      <c r="Z42" s="346">
        <f>IFERROR(IF(X42=0,0,X42/X14*Z14),0)</f>
        <v>0</v>
      </c>
      <c r="AA42" s="813"/>
      <c r="AB42" s="9"/>
      <c r="AC42" s="1099">
        <v>0</v>
      </c>
    </row>
    <row r="43" spans="2:29" x14ac:dyDescent="0.3">
      <c r="B43" s="448">
        <f>B42+1</f>
        <v>2</v>
      </c>
      <c r="C43" s="450" t="s">
        <v>846</v>
      </c>
      <c r="D43" s="1036">
        <v>0</v>
      </c>
      <c r="E43" s="637">
        <f t="shared" ref="E43:E58" si="18">IF((IFERROR(D43/((D15+E15)*90%),0))&lt;70%,MIN((MAX((D15+E15)*90%-D43,0)),(D15+E15/2)*$AC43),MAX((D15+E15)*90%-D43,0)/E$60)</f>
        <v>0</v>
      </c>
      <c r="F43" s="346">
        <f t="shared" ref="F43:F58" si="19">IFERROR(IF(D43=0,0,D43/D15*F15),0)</f>
        <v>0</v>
      </c>
      <c r="G43" s="347"/>
      <c r="H43" s="346">
        <f>D43+E43-F43-G43</f>
        <v>0</v>
      </c>
      <c r="I43" s="343">
        <f t="shared" ref="I43:I58" si="20">H43</f>
        <v>0</v>
      </c>
      <c r="J43" s="637">
        <f t="shared" ref="J43:J58" si="21">IF((IFERROR(I43/((I15+J15)*90%),0))&lt;70%,MIN((MAX((I15+J15)*90%-I43,0)),(I15+J15/2)*$AC43),MAX((I15+J15)*90%-I43,0)/J$60)</f>
        <v>0</v>
      </c>
      <c r="K43" s="346">
        <f t="shared" ref="K43:K58" si="22">IFERROR(IF(I43=0,0,I43/I15*K15),0)</f>
        <v>0</v>
      </c>
      <c r="L43" s="347"/>
      <c r="M43" s="343">
        <f t="shared" si="17"/>
        <v>0</v>
      </c>
      <c r="N43" s="845">
        <f t="shared" ref="N43:N58" si="23">M43</f>
        <v>0</v>
      </c>
      <c r="O43" s="637">
        <f t="shared" ref="O43:O58" si="24">IF((IFERROR(N43/((N15+O15)*90%),0))&lt;70%,MIN((MAX((N15+O15)*90%-N43,0)),(N15+O15/2)*$AC43),MAX((N15+O15)*90%-N43,0)/O$60)</f>
        <v>0</v>
      </c>
      <c r="P43" s="346">
        <f t="shared" ref="P43:P58" si="25">IFERROR(IF(N43=0,0,N43/N15*P15),0)</f>
        <v>0</v>
      </c>
      <c r="Q43" s="347"/>
      <c r="R43" s="346">
        <f t="shared" ref="R43:R58" si="26">N43+O43-P43-Q43</f>
        <v>0</v>
      </c>
      <c r="S43" s="343">
        <f t="shared" ref="S43:S58" si="27">R43</f>
        <v>0</v>
      </c>
      <c r="T43" s="637">
        <f t="shared" ref="T43:T58" si="28">IF((IFERROR(S43/((S15+T15)*90%),0))&lt;70%,MIN((MAX((S15+T15)*90%-S43,0)),(S15+T15/2)*$AC43),MAX((S15+T15)*90%-S43,0)/T$60)</f>
        <v>0</v>
      </c>
      <c r="U43" s="346">
        <f t="shared" ref="U43:U58" si="29">IFERROR(IF(S43=0,0,S43/S15*U15),0)</f>
        <v>0</v>
      </c>
      <c r="V43" s="347"/>
      <c r="W43" s="343">
        <f t="shared" ref="W43:W58" si="30">S43+T43-U43-V43</f>
        <v>0</v>
      </c>
      <c r="X43" s="845">
        <f t="shared" ref="X43:X58" si="31">W43</f>
        <v>0</v>
      </c>
      <c r="Y43" s="637">
        <f t="shared" ref="Y43:Y58" si="32">IF((IFERROR(X43/((X15+Y15)*90%),0))&lt;70%,MIN((MAX((X15+Y15)*90%-X43,0)),(X15+Y15/2)*$AC43),MAX((X15+Y15)*90%-X43,0)/Y$60)</f>
        <v>0</v>
      </c>
      <c r="Z43" s="346">
        <f t="shared" ref="Z43:Z58" si="33">IFERROR(IF(X43=0,0,X43/X15*Z15),0)</f>
        <v>0</v>
      </c>
      <c r="AA43" s="813"/>
      <c r="AB43" s="9"/>
      <c r="AC43" s="1099">
        <v>3.3399999999999999E-2</v>
      </c>
    </row>
    <row r="44" spans="2:29" x14ac:dyDescent="0.3">
      <c r="B44" s="448">
        <f t="shared" ref="B44:B58" si="34">B43+1</f>
        <v>3</v>
      </c>
      <c r="C44" s="450" t="s">
        <v>847</v>
      </c>
      <c r="D44" s="1036">
        <v>0</v>
      </c>
      <c r="E44" s="637">
        <f t="shared" si="18"/>
        <v>0</v>
      </c>
      <c r="F44" s="346">
        <f t="shared" si="19"/>
        <v>0</v>
      </c>
      <c r="G44" s="347"/>
      <c r="H44" s="346">
        <f t="shared" ref="H44:H58" si="35">D44+E44-F44-G44</f>
        <v>0</v>
      </c>
      <c r="I44" s="343">
        <f t="shared" si="20"/>
        <v>0</v>
      </c>
      <c r="J44" s="637">
        <f t="shared" si="21"/>
        <v>0</v>
      </c>
      <c r="K44" s="346">
        <f t="shared" si="22"/>
        <v>0</v>
      </c>
      <c r="L44" s="347"/>
      <c r="M44" s="343">
        <f t="shared" si="17"/>
        <v>0</v>
      </c>
      <c r="N44" s="845">
        <f t="shared" si="23"/>
        <v>0</v>
      </c>
      <c r="O44" s="637">
        <f t="shared" si="24"/>
        <v>0</v>
      </c>
      <c r="P44" s="346">
        <f t="shared" si="25"/>
        <v>0</v>
      </c>
      <c r="Q44" s="347"/>
      <c r="R44" s="346">
        <f t="shared" si="26"/>
        <v>0</v>
      </c>
      <c r="S44" s="343">
        <f t="shared" si="27"/>
        <v>0</v>
      </c>
      <c r="T44" s="637">
        <f t="shared" si="28"/>
        <v>0</v>
      </c>
      <c r="U44" s="346">
        <f t="shared" si="29"/>
        <v>0</v>
      </c>
      <c r="V44" s="347"/>
      <c r="W44" s="343">
        <f t="shared" si="30"/>
        <v>0</v>
      </c>
      <c r="X44" s="845">
        <f t="shared" si="31"/>
        <v>0</v>
      </c>
      <c r="Y44" s="637">
        <f t="shared" si="32"/>
        <v>0</v>
      </c>
      <c r="Z44" s="346">
        <f t="shared" si="33"/>
        <v>0</v>
      </c>
      <c r="AA44" s="814"/>
      <c r="AB44" s="9"/>
      <c r="AC44" s="1099">
        <v>4.2200000000000001E-2</v>
      </c>
    </row>
    <row r="45" spans="2:29" x14ac:dyDescent="0.3">
      <c r="B45" s="448">
        <f t="shared" si="34"/>
        <v>4</v>
      </c>
      <c r="C45" s="450" t="s">
        <v>848</v>
      </c>
      <c r="D45" s="1036">
        <v>0</v>
      </c>
      <c r="E45" s="637">
        <f t="shared" si="18"/>
        <v>0</v>
      </c>
      <c r="F45" s="346">
        <f t="shared" si="19"/>
        <v>0</v>
      </c>
      <c r="G45" s="347"/>
      <c r="H45" s="346">
        <f t="shared" si="35"/>
        <v>0</v>
      </c>
      <c r="I45" s="343">
        <f t="shared" si="20"/>
        <v>0</v>
      </c>
      <c r="J45" s="637">
        <f t="shared" si="21"/>
        <v>0</v>
      </c>
      <c r="K45" s="346">
        <f t="shared" si="22"/>
        <v>0</v>
      </c>
      <c r="L45" s="347"/>
      <c r="M45" s="343">
        <f t="shared" si="17"/>
        <v>0</v>
      </c>
      <c r="N45" s="845">
        <f t="shared" si="23"/>
        <v>0</v>
      </c>
      <c r="O45" s="637">
        <f t="shared" si="24"/>
        <v>0</v>
      </c>
      <c r="P45" s="346">
        <f t="shared" si="25"/>
        <v>0</v>
      </c>
      <c r="Q45" s="347"/>
      <c r="R45" s="346">
        <f t="shared" si="26"/>
        <v>0</v>
      </c>
      <c r="S45" s="343">
        <f t="shared" si="27"/>
        <v>0</v>
      </c>
      <c r="T45" s="637">
        <f t="shared" si="28"/>
        <v>0</v>
      </c>
      <c r="U45" s="346">
        <f t="shared" si="29"/>
        <v>0</v>
      </c>
      <c r="V45" s="347"/>
      <c r="W45" s="343">
        <f t="shared" si="30"/>
        <v>0</v>
      </c>
      <c r="X45" s="845">
        <f t="shared" si="31"/>
        <v>0</v>
      </c>
      <c r="Y45" s="637">
        <f t="shared" si="32"/>
        <v>0</v>
      </c>
      <c r="Z45" s="346">
        <f t="shared" si="33"/>
        <v>0</v>
      </c>
      <c r="AA45" s="813"/>
      <c r="AB45" s="9"/>
      <c r="AC45" s="1099">
        <v>4.2200000000000001E-2</v>
      </c>
    </row>
    <row r="46" spans="2:29" x14ac:dyDescent="0.3">
      <c r="B46" s="448">
        <f t="shared" si="34"/>
        <v>5</v>
      </c>
      <c r="C46" s="450" t="s">
        <v>849</v>
      </c>
      <c r="D46" s="1036">
        <v>0</v>
      </c>
      <c r="E46" s="637">
        <f t="shared" si="18"/>
        <v>0</v>
      </c>
      <c r="F46" s="346">
        <f t="shared" si="19"/>
        <v>0</v>
      </c>
      <c r="G46" s="347"/>
      <c r="H46" s="346">
        <f t="shared" si="35"/>
        <v>0</v>
      </c>
      <c r="I46" s="343">
        <f t="shared" si="20"/>
        <v>0</v>
      </c>
      <c r="J46" s="637">
        <f t="shared" si="21"/>
        <v>1.6616499999999998</v>
      </c>
      <c r="K46" s="346">
        <f t="shared" si="22"/>
        <v>0</v>
      </c>
      <c r="L46" s="347"/>
      <c r="M46" s="343">
        <f t="shared" si="17"/>
        <v>1.6616499999999998</v>
      </c>
      <c r="N46" s="845">
        <f t="shared" si="23"/>
        <v>1.6616499999999998</v>
      </c>
      <c r="O46" s="637">
        <f t="shared" si="24"/>
        <v>3.3232999999999997</v>
      </c>
      <c r="P46" s="346">
        <f t="shared" si="25"/>
        <v>0</v>
      </c>
      <c r="Q46" s="347"/>
      <c r="R46" s="346">
        <f t="shared" si="26"/>
        <v>4.9849499999999995</v>
      </c>
      <c r="S46" s="343">
        <f t="shared" si="27"/>
        <v>4.9849499999999995</v>
      </c>
      <c r="T46" s="637">
        <f t="shared" si="28"/>
        <v>3.3232999999999997</v>
      </c>
      <c r="U46" s="346">
        <f t="shared" si="29"/>
        <v>0</v>
      </c>
      <c r="V46" s="347"/>
      <c r="W46" s="343">
        <f t="shared" si="30"/>
        <v>8.3082499999999992</v>
      </c>
      <c r="X46" s="845">
        <f t="shared" si="31"/>
        <v>8.3082499999999992</v>
      </c>
      <c r="Y46" s="637">
        <f t="shared" si="32"/>
        <v>3.3232999999999997</v>
      </c>
      <c r="Z46" s="346">
        <f t="shared" si="33"/>
        <v>0</v>
      </c>
      <c r="AA46" s="813"/>
      <c r="AB46" s="9"/>
      <c r="AC46" s="1099">
        <v>3.3399999999999999E-2</v>
      </c>
    </row>
    <row r="47" spans="2:29" x14ac:dyDescent="0.3">
      <c r="B47" s="448">
        <f t="shared" si="34"/>
        <v>6</v>
      </c>
      <c r="C47" s="450" t="s">
        <v>256</v>
      </c>
      <c r="D47" s="1036">
        <v>0</v>
      </c>
      <c r="E47" s="637">
        <f t="shared" si="18"/>
        <v>0</v>
      </c>
      <c r="F47" s="346">
        <f t="shared" si="19"/>
        <v>0</v>
      </c>
      <c r="G47" s="347"/>
      <c r="H47" s="346">
        <f t="shared" si="35"/>
        <v>0</v>
      </c>
      <c r="I47" s="343">
        <f t="shared" si="20"/>
        <v>0</v>
      </c>
      <c r="J47" s="637">
        <f t="shared" si="21"/>
        <v>0</v>
      </c>
      <c r="K47" s="346">
        <f t="shared" si="22"/>
        <v>0</v>
      </c>
      <c r="L47" s="347"/>
      <c r="M47" s="343">
        <f t="shared" si="17"/>
        <v>0</v>
      </c>
      <c r="N47" s="845">
        <f t="shared" si="23"/>
        <v>0</v>
      </c>
      <c r="O47" s="637">
        <f t="shared" si="24"/>
        <v>0</v>
      </c>
      <c r="P47" s="346">
        <f t="shared" si="25"/>
        <v>0</v>
      </c>
      <c r="Q47" s="347"/>
      <c r="R47" s="346">
        <f t="shared" si="26"/>
        <v>0</v>
      </c>
      <c r="S47" s="343">
        <f t="shared" si="27"/>
        <v>0</v>
      </c>
      <c r="T47" s="637">
        <f t="shared" si="28"/>
        <v>0</v>
      </c>
      <c r="U47" s="346">
        <f t="shared" si="29"/>
        <v>0</v>
      </c>
      <c r="V47" s="347"/>
      <c r="W47" s="343">
        <f t="shared" si="30"/>
        <v>0</v>
      </c>
      <c r="X47" s="845">
        <f t="shared" si="31"/>
        <v>0</v>
      </c>
      <c r="Y47" s="637">
        <f t="shared" si="32"/>
        <v>0</v>
      </c>
      <c r="Z47" s="346">
        <f t="shared" si="33"/>
        <v>0</v>
      </c>
      <c r="AA47" s="813"/>
      <c r="AB47" s="9"/>
      <c r="AC47" s="1099">
        <v>4.2200000000000001E-2</v>
      </c>
    </row>
    <row r="48" spans="2:29" x14ac:dyDescent="0.3">
      <c r="B48" s="448">
        <f t="shared" si="34"/>
        <v>7</v>
      </c>
      <c r="C48" s="450" t="s">
        <v>850</v>
      </c>
      <c r="D48" s="1036">
        <v>0</v>
      </c>
      <c r="E48" s="637">
        <f t="shared" si="18"/>
        <v>0</v>
      </c>
      <c r="F48" s="346">
        <f t="shared" si="19"/>
        <v>0</v>
      </c>
      <c r="G48" s="347"/>
      <c r="H48" s="346">
        <f t="shared" si="35"/>
        <v>0</v>
      </c>
      <c r="I48" s="343">
        <f t="shared" si="20"/>
        <v>0</v>
      </c>
      <c r="J48" s="637">
        <f t="shared" si="21"/>
        <v>0</v>
      </c>
      <c r="K48" s="346">
        <f t="shared" si="22"/>
        <v>0</v>
      </c>
      <c r="L48" s="347"/>
      <c r="M48" s="343">
        <f t="shared" si="17"/>
        <v>0</v>
      </c>
      <c r="N48" s="845">
        <f t="shared" si="23"/>
        <v>0</v>
      </c>
      <c r="O48" s="637">
        <f t="shared" si="24"/>
        <v>0</v>
      </c>
      <c r="P48" s="346">
        <f t="shared" si="25"/>
        <v>0</v>
      </c>
      <c r="Q48" s="347"/>
      <c r="R48" s="346">
        <f t="shared" si="26"/>
        <v>0</v>
      </c>
      <c r="S48" s="343">
        <f t="shared" si="27"/>
        <v>0</v>
      </c>
      <c r="T48" s="637">
        <f t="shared" si="28"/>
        <v>0</v>
      </c>
      <c r="U48" s="346">
        <f t="shared" si="29"/>
        <v>0</v>
      </c>
      <c r="V48" s="347"/>
      <c r="W48" s="343">
        <f t="shared" si="30"/>
        <v>0</v>
      </c>
      <c r="X48" s="845">
        <f t="shared" si="31"/>
        <v>0</v>
      </c>
      <c r="Y48" s="637">
        <f t="shared" si="32"/>
        <v>0</v>
      </c>
      <c r="Z48" s="346">
        <f t="shared" si="33"/>
        <v>0</v>
      </c>
      <c r="AA48" s="813"/>
      <c r="AB48" s="9"/>
      <c r="AC48" s="1099">
        <v>9.5000000000000001E-2</v>
      </c>
    </row>
    <row r="49" spans="2:29" x14ac:dyDescent="0.3">
      <c r="B49" s="448">
        <f t="shared" si="34"/>
        <v>8</v>
      </c>
      <c r="C49" s="450" t="s">
        <v>851</v>
      </c>
      <c r="D49" s="1036">
        <v>0</v>
      </c>
      <c r="E49" s="637">
        <f t="shared" si="18"/>
        <v>0</v>
      </c>
      <c r="F49" s="346">
        <f t="shared" si="19"/>
        <v>0</v>
      </c>
      <c r="G49" s="347"/>
      <c r="H49" s="346">
        <f t="shared" si="35"/>
        <v>0</v>
      </c>
      <c r="I49" s="343">
        <f t="shared" si="20"/>
        <v>0</v>
      </c>
      <c r="J49" s="637">
        <f t="shared" si="21"/>
        <v>0</v>
      </c>
      <c r="K49" s="346">
        <f t="shared" si="22"/>
        <v>0</v>
      </c>
      <c r="L49" s="347"/>
      <c r="M49" s="343">
        <f t="shared" si="17"/>
        <v>0</v>
      </c>
      <c r="N49" s="845">
        <f t="shared" si="23"/>
        <v>0</v>
      </c>
      <c r="O49" s="637">
        <f t="shared" si="24"/>
        <v>0</v>
      </c>
      <c r="P49" s="346">
        <f t="shared" si="25"/>
        <v>0</v>
      </c>
      <c r="Q49" s="347"/>
      <c r="R49" s="346">
        <f t="shared" si="26"/>
        <v>0</v>
      </c>
      <c r="S49" s="343">
        <f t="shared" si="27"/>
        <v>0</v>
      </c>
      <c r="T49" s="637">
        <f t="shared" si="28"/>
        <v>0</v>
      </c>
      <c r="U49" s="346">
        <f t="shared" si="29"/>
        <v>0</v>
      </c>
      <c r="V49" s="347"/>
      <c r="W49" s="343">
        <f t="shared" si="30"/>
        <v>0</v>
      </c>
      <c r="X49" s="845">
        <f t="shared" si="31"/>
        <v>0</v>
      </c>
      <c r="Y49" s="637">
        <f t="shared" si="32"/>
        <v>0</v>
      </c>
      <c r="Z49" s="346">
        <f t="shared" si="33"/>
        <v>0</v>
      </c>
      <c r="AA49" s="813"/>
      <c r="AB49" s="9"/>
      <c r="AC49" s="1099">
        <v>9.5000000000000001E-2</v>
      </c>
    </row>
    <row r="50" spans="2:29" x14ac:dyDescent="0.3">
      <c r="B50" s="448">
        <f t="shared" si="34"/>
        <v>9</v>
      </c>
      <c r="C50" s="450" t="s">
        <v>852</v>
      </c>
      <c r="D50" s="1036">
        <v>0</v>
      </c>
      <c r="E50" s="637">
        <f t="shared" si="18"/>
        <v>0</v>
      </c>
      <c r="F50" s="346">
        <f t="shared" si="19"/>
        <v>0</v>
      </c>
      <c r="G50" s="347"/>
      <c r="H50" s="346">
        <f t="shared" si="35"/>
        <v>0</v>
      </c>
      <c r="I50" s="343">
        <f t="shared" si="20"/>
        <v>0</v>
      </c>
      <c r="J50" s="637">
        <f t="shared" si="21"/>
        <v>0</v>
      </c>
      <c r="K50" s="346">
        <f t="shared" si="22"/>
        <v>0</v>
      </c>
      <c r="L50" s="347"/>
      <c r="M50" s="343">
        <f t="shared" si="17"/>
        <v>0</v>
      </c>
      <c r="N50" s="845">
        <f t="shared" si="23"/>
        <v>0</v>
      </c>
      <c r="O50" s="637">
        <f t="shared" si="24"/>
        <v>0</v>
      </c>
      <c r="P50" s="346">
        <f t="shared" si="25"/>
        <v>0</v>
      </c>
      <c r="Q50" s="347"/>
      <c r="R50" s="346">
        <f t="shared" si="26"/>
        <v>0</v>
      </c>
      <c r="S50" s="343">
        <f t="shared" si="27"/>
        <v>0</v>
      </c>
      <c r="T50" s="637">
        <f t="shared" si="28"/>
        <v>0</v>
      </c>
      <c r="U50" s="346">
        <f t="shared" si="29"/>
        <v>0</v>
      </c>
      <c r="V50" s="347"/>
      <c r="W50" s="343">
        <f t="shared" si="30"/>
        <v>0</v>
      </c>
      <c r="X50" s="845">
        <f t="shared" si="31"/>
        <v>0</v>
      </c>
      <c r="Y50" s="637">
        <f t="shared" si="32"/>
        <v>0</v>
      </c>
      <c r="Z50" s="346">
        <f t="shared" si="33"/>
        <v>0</v>
      </c>
      <c r="AA50" s="813"/>
      <c r="AB50" s="9"/>
      <c r="AC50" s="1099">
        <v>4.2200000000000001E-2</v>
      </c>
    </row>
    <row r="51" spans="2:29" x14ac:dyDescent="0.3">
      <c r="B51" s="448">
        <f t="shared" si="34"/>
        <v>10</v>
      </c>
      <c r="C51" s="450" t="s">
        <v>259</v>
      </c>
      <c r="D51" s="1036">
        <v>0</v>
      </c>
      <c r="E51" s="637">
        <f t="shared" si="18"/>
        <v>0</v>
      </c>
      <c r="F51" s="346">
        <f t="shared" si="19"/>
        <v>0</v>
      </c>
      <c r="G51" s="347"/>
      <c r="H51" s="346">
        <f t="shared" si="35"/>
        <v>0</v>
      </c>
      <c r="I51" s="343">
        <f t="shared" si="20"/>
        <v>0</v>
      </c>
      <c r="J51" s="637">
        <f t="shared" si="21"/>
        <v>0</v>
      </c>
      <c r="K51" s="346">
        <f t="shared" si="22"/>
        <v>0</v>
      </c>
      <c r="L51" s="347"/>
      <c r="M51" s="343">
        <f t="shared" si="17"/>
        <v>0</v>
      </c>
      <c r="N51" s="845">
        <f t="shared" si="23"/>
        <v>0</v>
      </c>
      <c r="O51" s="637">
        <f t="shared" si="24"/>
        <v>0</v>
      </c>
      <c r="P51" s="346">
        <f t="shared" si="25"/>
        <v>0</v>
      </c>
      <c r="Q51" s="347"/>
      <c r="R51" s="346">
        <f t="shared" si="26"/>
        <v>0</v>
      </c>
      <c r="S51" s="343">
        <f t="shared" si="27"/>
        <v>0</v>
      </c>
      <c r="T51" s="637">
        <f t="shared" si="28"/>
        <v>0</v>
      </c>
      <c r="U51" s="346">
        <f t="shared" si="29"/>
        <v>0</v>
      </c>
      <c r="V51" s="347"/>
      <c r="W51" s="343">
        <f t="shared" si="30"/>
        <v>0</v>
      </c>
      <c r="X51" s="845">
        <f t="shared" si="31"/>
        <v>0</v>
      </c>
      <c r="Y51" s="637">
        <f t="shared" si="32"/>
        <v>0</v>
      </c>
      <c r="Z51" s="346">
        <f t="shared" si="33"/>
        <v>0</v>
      </c>
      <c r="AA51" s="813"/>
      <c r="AB51" s="9"/>
      <c r="AC51" s="1099">
        <v>9.5000000000000001E-2</v>
      </c>
    </row>
    <row r="52" spans="2:29" x14ac:dyDescent="0.3">
      <c r="B52" s="448">
        <f t="shared" si="34"/>
        <v>11</v>
      </c>
      <c r="C52" s="450" t="s">
        <v>260</v>
      </c>
      <c r="D52" s="1036">
        <v>0</v>
      </c>
      <c r="E52" s="637">
        <f t="shared" si="18"/>
        <v>0</v>
      </c>
      <c r="F52" s="346">
        <f t="shared" si="19"/>
        <v>0</v>
      </c>
      <c r="G52" s="347"/>
      <c r="H52" s="346">
        <f t="shared" si="35"/>
        <v>0</v>
      </c>
      <c r="I52" s="343">
        <f t="shared" si="20"/>
        <v>0</v>
      </c>
      <c r="J52" s="637">
        <f t="shared" si="21"/>
        <v>0</v>
      </c>
      <c r="K52" s="346">
        <f t="shared" si="22"/>
        <v>0</v>
      </c>
      <c r="L52" s="347"/>
      <c r="M52" s="343">
        <f t="shared" si="17"/>
        <v>0</v>
      </c>
      <c r="N52" s="845">
        <f t="shared" si="23"/>
        <v>0</v>
      </c>
      <c r="O52" s="637">
        <f t="shared" si="24"/>
        <v>0</v>
      </c>
      <c r="P52" s="346">
        <f t="shared" si="25"/>
        <v>0</v>
      </c>
      <c r="Q52" s="347"/>
      <c r="R52" s="346">
        <f t="shared" si="26"/>
        <v>0</v>
      </c>
      <c r="S52" s="343">
        <f t="shared" si="27"/>
        <v>0</v>
      </c>
      <c r="T52" s="637">
        <f t="shared" si="28"/>
        <v>0</v>
      </c>
      <c r="U52" s="346">
        <f t="shared" si="29"/>
        <v>0</v>
      </c>
      <c r="V52" s="347"/>
      <c r="W52" s="343">
        <f t="shared" si="30"/>
        <v>0</v>
      </c>
      <c r="X52" s="845">
        <f t="shared" si="31"/>
        <v>0</v>
      </c>
      <c r="Y52" s="637">
        <f t="shared" si="32"/>
        <v>0</v>
      </c>
      <c r="Z52" s="346">
        <f t="shared" si="33"/>
        <v>0</v>
      </c>
      <c r="AA52" s="813"/>
      <c r="AB52" s="9"/>
      <c r="AC52" s="1099">
        <v>6.3299999999999995E-2</v>
      </c>
    </row>
    <row r="53" spans="2:29" x14ac:dyDescent="0.3">
      <c r="B53" s="448">
        <f t="shared" si="34"/>
        <v>12</v>
      </c>
      <c r="C53" s="450" t="s">
        <v>261</v>
      </c>
      <c r="D53" s="1036">
        <v>0</v>
      </c>
      <c r="E53" s="637">
        <f t="shared" si="18"/>
        <v>0</v>
      </c>
      <c r="F53" s="346">
        <f t="shared" si="19"/>
        <v>0</v>
      </c>
      <c r="G53" s="348"/>
      <c r="H53" s="346">
        <f t="shared" si="35"/>
        <v>0</v>
      </c>
      <c r="I53" s="343">
        <f t="shared" si="20"/>
        <v>0</v>
      </c>
      <c r="J53" s="637">
        <f t="shared" si="21"/>
        <v>0</v>
      </c>
      <c r="K53" s="346">
        <f t="shared" si="22"/>
        <v>0</v>
      </c>
      <c r="L53" s="347"/>
      <c r="M53" s="343">
        <f t="shared" si="17"/>
        <v>0</v>
      </c>
      <c r="N53" s="845">
        <f t="shared" si="23"/>
        <v>0</v>
      </c>
      <c r="O53" s="637">
        <f t="shared" si="24"/>
        <v>0</v>
      </c>
      <c r="P53" s="346">
        <f t="shared" si="25"/>
        <v>0</v>
      </c>
      <c r="Q53" s="347"/>
      <c r="R53" s="346">
        <f t="shared" si="26"/>
        <v>0</v>
      </c>
      <c r="S53" s="343">
        <f t="shared" si="27"/>
        <v>0</v>
      </c>
      <c r="T53" s="637">
        <f t="shared" si="28"/>
        <v>0</v>
      </c>
      <c r="U53" s="346">
        <f t="shared" si="29"/>
        <v>0</v>
      </c>
      <c r="V53" s="347"/>
      <c r="W53" s="343">
        <f t="shared" si="30"/>
        <v>0</v>
      </c>
      <c r="X53" s="845">
        <f t="shared" si="31"/>
        <v>0</v>
      </c>
      <c r="Y53" s="637">
        <f t="shared" si="32"/>
        <v>0</v>
      </c>
      <c r="Z53" s="346">
        <f t="shared" si="33"/>
        <v>0</v>
      </c>
      <c r="AA53" s="813"/>
      <c r="AB53" s="9"/>
      <c r="AC53" s="1099">
        <v>6.3299999999999995E-2</v>
      </c>
    </row>
    <row r="54" spans="2:29" x14ac:dyDescent="0.3">
      <c r="B54" s="448">
        <f t="shared" si="34"/>
        <v>13</v>
      </c>
      <c r="C54" s="450" t="s">
        <v>899</v>
      </c>
      <c r="D54" s="1036">
        <v>0</v>
      </c>
      <c r="E54" s="637">
        <f t="shared" si="18"/>
        <v>0</v>
      </c>
      <c r="F54" s="346">
        <f t="shared" si="19"/>
        <v>0</v>
      </c>
      <c r="G54" s="348"/>
      <c r="H54" s="346">
        <f t="shared" si="35"/>
        <v>0</v>
      </c>
      <c r="I54" s="343">
        <f t="shared" si="20"/>
        <v>0</v>
      </c>
      <c r="J54" s="637">
        <f t="shared" si="21"/>
        <v>0</v>
      </c>
      <c r="K54" s="346">
        <f t="shared" si="22"/>
        <v>0</v>
      </c>
      <c r="L54" s="347"/>
      <c r="M54" s="343">
        <f t="shared" si="17"/>
        <v>0</v>
      </c>
      <c r="N54" s="845">
        <f t="shared" si="23"/>
        <v>0</v>
      </c>
      <c r="O54" s="637">
        <f t="shared" si="24"/>
        <v>0</v>
      </c>
      <c r="P54" s="346">
        <f t="shared" si="25"/>
        <v>0</v>
      </c>
      <c r="Q54" s="347"/>
      <c r="R54" s="346">
        <f t="shared" si="26"/>
        <v>0</v>
      </c>
      <c r="S54" s="343">
        <f t="shared" si="27"/>
        <v>0</v>
      </c>
      <c r="T54" s="637">
        <f t="shared" si="28"/>
        <v>0</v>
      </c>
      <c r="U54" s="346">
        <f t="shared" si="29"/>
        <v>0</v>
      </c>
      <c r="V54" s="347"/>
      <c r="W54" s="343">
        <f t="shared" si="30"/>
        <v>0</v>
      </c>
      <c r="X54" s="845">
        <f t="shared" si="31"/>
        <v>0</v>
      </c>
      <c r="Y54" s="637">
        <f t="shared" si="32"/>
        <v>0</v>
      </c>
      <c r="Z54" s="346">
        <f t="shared" si="33"/>
        <v>0</v>
      </c>
      <c r="AA54" s="813"/>
      <c r="AB54" s="9"/>
      <c r="AC54" s="1099">
        <v>6.3299999999999995E-2</v>
      </c>
    </row>
    <row r="55" spans="2:29" x14ac:dyDescent="0.3">
      <c r="B55" s="448">
        <f t="shared" si="34"/>
        <v>14</v>
      </c>
      <c r="C55" s="450" t="s">
        <v>900</v>
      </c>
      <c r="D55" s="1036">
        <v>0</v>
      </c>
      <c r="E55" s="637">
        <f>IF((IFERROR(D55/((D27+E27)*100%),0))&lt;70%,MIN((MAX((D27+E27)*100%-D55,0)),(D27+E27/2)*$AC55),MAX((D27+E27)*100%-D55,0)/E$60)</f>
        <v>0</v>
      </c>
      <c r="F55" s="346">
        <f t="shared" si="19"/>
        <v>0</v>
      </c>
      <c r="G55" s="348"/>
      <c r="H55" s="346">
        <f t="shared" si="35"/>
        <v>0</v>
      </c>
      <c r="I55" s="343">
        <f t="shared" si="20"/>
        <v>0</v>
      </c>
      <c r="J55" s="637">
        <f>IF((IFERROR(I55/((I27+J27)*100%),0))&lt;70%,MIN((MAX((I27+J27)*100%-I55,0)),(I27+J27/2)*$AC55),MAX((I27+J27)*100%-I55,0)/J$60)</f>
        <v>0</v>
      </c>
      <c r="K55" s="346">
        <f t="shared" si="22"/>
        <v>0</v>
      </c>
      <c r="L55" s="347"/>
      <c r="M55" s="343">
        <f t="shared" si="17"/>
        <v>0</v>
      </c>
      <c r="N55" s="845">
        <f t="shared" si="23"/>
        <v>0</v>
      </c>
      <c r="O55" s="637">
        <f>IF((IFERROR(N55/((N27+O27)*100%),0))&lt;70%,MIN((MAX((N27+O27)*100%-N55,0)),(N27+O27/2)*$AC55),MAX((N27+O27)*100%-N55,0)/O$60)</f>
        <v>0</v>
      </c>
      <c r="P55" s="346">
        <f t="shared" si="25"/>
        <v>0</v>
      </c>
      <c r="Q55" s="347"/>
      <c r="R55" s="346">
        <f t="shared" si="26"/>
        <v>0</v>
      </c>
      <c r="S55" s="343">
        <f t="shared" si="27"/>
        <v>0</v>
      </c>
      <c r="T55" s="637">
        <f>IF((IFERROR(S55/((S27+T27)*100%),0))&lt;70%,MIN((MAX((S27+T27)*100%-S55,0)),(S27+T27/2)*$AC55),MAX((S27+T27)*100%-S55,0)/T$60)</f>
        <v>0</v>
      </c>
      <c r="U55" s="346">
        <f t="shared" si="29"/>
        <v>0</v>
      </c>
      <c r="V55" s="347"/>
      <c r="W55" s="343">
        <f t="shared" si="30"/>
        <v>0</v>
      </c>
      <c r="X55" s="845">
        <f t="shared" si="31"/>
        <v>0</v>
      </c>
      <c r="Y55" s="637">
        <f>IF((IFERROR(X55/((X27+Y27)*100%),0))&lt;70%,MIN((MAX((X27+Y27)*100%-X55,0)),(X27+Y27/2)*$AC55),MAX((X27+Y27)*100%-X55,0)/Y$60)</f>
        <v>0</v>
      </c>
      <c r="Z55" s="346">
        <f t="shared" si="33"/>
        <v>0</v>
      </c>
      <c r="AA55" s="813"/>
      <c r="AB55" s="9"/>
      <c r="AC55" s="1099">
        <v>0.15</v>
      </c>
    </row>
    <row r="56" spans="2:29" x14ac:dyDescent="0.3">
      <c r="B56" s="448">
        <f t="shared" si="34"/>
        <v>15</v>
      </c>
      <c r="C56" s="450" t="s">
        <v>901</v>
      </c>
      <c r="D56" s="1036">
        <v>0</v>
      </c>
      <c r="E56" s="637">
        <f>IF((IFERROR(D56/((D28+E28)*100%),0))&lt;70%,MIN((MAX((D28+E28)*100%-D56,0)),(D28+E28/2)*$AC56),MAX((D28+E28)*100%-D56,0)/E$60)</f>
        <v>0</v>
      </c>
      <c r="F56" s="346">
        <f t="shared" si="19"/>
        <v>0</v>
      </c>
      <c r="G56" s="348"/>
      <c r="H56" s="346">
        <f t="shared" si="35"/>
        <v>0</v>
      </c>
      <c r="I56" s="343">
        <f t="shared" si="20"/>
        <v>0</v>
      </c>
      <c r="J56" s="637">
        <f>IF((IFERROR(I56/((I28+J28)*100%),0))&lt;70%,MIN((MAX((I28+J28)*100%-I56,0)),(I28+J28/2)*$AC56),MAX((I28+J28)*100%-I56,0)/J$60)</f>
        <v>0</v>
      </c>
      <c r="K56" s="346">
        <f t="shared" si="22"/>
        <v>0</v>
      </c>
      <c r="L56" s="347"/>
      <c r="M56" s="343">
        <f t="shared" si="17"/>
        <v>0</v>
      </c>
      <c r="N56" s="845">
        <f t="shared" si="23"/>
        <v>0</v>
      </c>
      <c r="O56" s="637">
        <f>IF((IFERROR(N56/((N28+O28)*100%),0))&lt;70%,MIN((MAX((N28+O28)*100%-N56,0)),(N28+O28/2)*$AC56),MAX((N28+O28)*100%-N56,0)/O$60)</f>
        <v>0</v>
      </c>
      <c r="P56" s="346">
        <f t="shared" si="25"/>
        <v>0</v>
      </c>
      <c r="Q56" s="347"/>
      <c r="R56" s="346">
        <f t="shared" si="26"/>
        <v>0</v>
      </c>
      <c r="S56" s="343">
        <f t="shared" si="27"/>
        <v>0</v>
      </c>
      <c r="T56" s="637">
        <f>IF((IFERROR(S56/((S28+T28)*100%),0))&lt;70%,MIN((MAX((S28+T28)*100%-S56,0)),(S28+T28/2)*$AC56),MAX((S28+T28)*100%-S56,0)/T$60)</f>
        <v>0</v>
      </c>
      <c r="U56" s="346">
        <f t="shared" si="29"/>
        <v>0</v>
      </c>
      <c r="V56" s="347"/>
      <c r="W56" s="343">
        <f t="shared" si="30"/>
        <v>0</v>
      </c>
      <c r="X56" s="845">
        <f t="shared" si="31"/>
        <v>0</v>
      </c>
      <c r="Y56" s="637">
        <f>IF((IFERROR(X56/((X28+Y28)*100%),0))&lt;70%,MIN((MAX((X28+Y28)*100%-X56,0)),(X28+Y28/2)*$AC56),MAX((X28+Y28)*100%-X56,0)/Y$60)</f>
        <v>0</v>
      </c>
      <c r="Z56" s="346">
        <f t="shared" si="33"/>
        <v>0</v>
      </c>
      <c r="AA56" s="813"/>
      <c r="AB56" s="9"/>
      <c r="AC56" s="1099">
        <v>0.15</v>
      </c>
    </row>
    <row r="57" spans="2:29" x14ac:dyDescent="0.3">
      <c r="B57" s="448">
        <f t="shared" si="34"/>
        <v>16</v>
      </c>
      <c r="C57" s="450" t="s">
        <v>853</v>
      </c>
      <c r="D57" s="1036">
        <v>0</v>
      </c>
      <c r="E57" s="637">
        <f>IF((IFERROR(D57/((D29+E29)*100%),0))&lt;70%,MIN((MAX((D29+E29)*100%-D57,0)),(D29+E29/2)*$AC57),MAX((D29+E29)*100%-D57,0)/E$60)</f>
        <v>0</v>
      </c>
      <c r="F57" s="346">
        <f t="shared" si="19"/>
        <v>0</v>
      </c>
      <c r="G57" s="347"/>
      <c r="H57" s="346">
        <f t="shared" si="35"/>
        <v>0</v>
      </c>
      <c r="I57" s="343">
        <f t="shared" si="20"/>
        <v>0</v>
      </c>
      <c r="J57" s="637">
        <f>IF((IFERROR(I57/((I29+J29)*100%),0))&lt;70%,MIN((MAX((I29+J29)*100%-I57,0)),(I29+J29/2)*$AC57),MAX((I29+J29)*100%-I57,0)/J$60)</f>
        <v>0</v>
      </c>
      <c r="K57" s="346">
        <f t="shared" si="22"/>
        <v>0</v>
      </c>
      <c r="L57" s="347"/>
      <c r="M57" s="343">
        <f t="shared" si="17"/>
        <v>0</v>
      </c>
      <c r="N57" s="845">
        <f t="shared" si="23"/>
        <v>0</v>
      </c>
      <c r="O57" s="637">
        <f>IF((IFERROR(N57/((N29+O29)*100%),0))&lt;70%,MIN((MAX((N29+O29)*100%-N57,0)),(N29+O29/2)*$AC57),MAX((N29+O29)*100%-N57,0)/O$60)</f>
        <v>0</v>
      </c>
      <c r="P57" s="346">
        <f t="shared" si="25"/>
        <v>0</v>
      </c>
      <c r="Q57" s="347"/>
      <c r="R57" s="346">
        <f t="shared" si="26"/>
        <v>0</v>
      </c>
      <c r="S57" s="343">
        <f t="shared" si="27"/>
        <v>0</v>
      </c>
      <c r="T57" s="637">
        <f>IF((IFERROR(S57/((S29+T29)*100%),0))&lt;70%,MIN((MAX((S29+T29)*100%-S57,0)),(S29+T29/2)*$AC57),MAX((S29+T29)*100%-S57,0)/T$60)</f>
        <v>0</v>
      </c>
      <c r="U57" s="346">
        <f t="shared" si="29"/>
        <v>0</v>
      </c>
      <c r="V57" s="347"/>
      <c r="W57" s="343">
        <f t="shared" si="30"/>
        <v>0</v>
      </c>
      <c r="X57" s="845">
        <f t="shared" si="31"/>
        <v>0</v>
      </c>
      <c r="Y57" s="637">
        <f>IF((IFERROR(X57/((X29+Y29)*100%),0))&lt;70%,MIN((MAX((X29+Y29)*100%-X57,0)),(X29+Y29/2)*$AC57),MAX((X29+Y29)*100%-X57,0)/Y$60)</f>
        <v>0</v>
      </c>
      <c r="Z57" s="346">
        <f t="shared" si="33"/>
        <v>0</v>
      </c>
      <c r="AA57" s="813"/>
      <c r="AB57" s="9"/>
      <c r="AC57" s="1099">
        <v>0.15</v>
      </c>
    </row>
    <row r="58" spans="2:29" x14ac:dyDescent="0.3">
      <c r="B58" s="448">
        <f t="shared" si="34"/>
        <v>17</v>
      </c>
      <c r="C58" s="450" t="s">
        <v>902</v>
      </c>
      <c r="D58" s="1036">
        <v>0</v>
      </c>
      <c r="E58" s="637">
        <f t="shared" si="18"/>
        <v>0</v>
      </c>
      <c r="F58" s="346">
        <f t="shared" si="19"/>
        <v>0</v>
      </c>
      <c r="G58" s="347"/>
      <c r="H58" s="346">
        <f t="shared" si="35"/>
        <v>0</v>
      </c>
      <c r="I58" s="343">
        <f t="shared" si="20"/>
        <v>0</v>
      </c>
      <c r="J58" s="637">
        <f t="shared" si="21"/>
        <v>0</v>
      </c>
      <c r="K58" s="346">
        <f t="shared" si="22"/>
        <v>0</v>
      </c>
      <c r="L58" s="347"/>
      <c r="M58" s="343">
        <f t="shared" si="17"/>
        <v>0</v>
      </c>
      <c r="N58" s="845">
        <f t="shared" si="23"/>
        <v>0</v>
      </c>
      <c r="O58" s="637">
        <f t="shared" si="24"/>
        <v>0</v>
      </c>
      <c r="P58" s="346">
        <f t="shared" si="25"/>
        <v>0</v>
      </c>
      <c r="Q58" s="347"/>
      <c r="R58" s="346">
        <f t="shared" si="26"/>
        <v>0</v>
      </c>
      <c r="S58" s="343">
        <f t="shared" si="27"/>
        <v>0</v>
      </c>
      <c r="T58" s="637">
        <f t="shared" si="28"/>
        <v>0</v>
      </c>
      <c r="U58" s="346">
        <f t="shared" si="29"/>
        <v>0</v>
      </c>
      <c r="V58" s="347"/>
      <c r="W58" s="343">
        <f t="shared" si="30"/>
        <v>0</v>
      </c>
      <c r="X58" s="845">
        <f t="shared" si="31"/>
        <v>0</v>
      </c>
      <c r="Y58" s="637">
        <f t="shared" si="32"/>
        <v>0</v>
      </c>
      <c r="Z58" s="346">
        <f t="shared" si="33"/>
        <v>0</v>
      </c>
      <c r="AA58" s="813"/>
      <c r="AB58" s="9"/>
      <c r="AC58" s="1099">
        <v>3.3399999999999999E-2</v>
      </c>
    </row>
    <row r="59" spans="2:29" ht="16" x14ac:dyDescent="0.3">
      <c r="B59" s="78"/>
      <c r="C59" s="92" t="s">
        <v>271</v>
      </c>
      <c r="D59" s="92"/>
      <c r="E59" s="345">
        <f>SUM(E42:E58)</f>
        <v>0</v>
      </c>
      <c r="F59" s="345">
        <f t="shared" ref="F59:X59" si="36">SUM(F42:F58)</f>
        <v>0</v>
      </c>
      <c r="G59" s="345">
        <f t="shared" si="36"/>
        <v>0</v>
      </c>
      <c r="H59" s="345">
        <f t="shared" si="36"/>
        <v>0</v>
      </c>
      <c r="I59" s="345">
        <f t="shared" si="36"/>
        <v>0</v>
      </c>
      <c r="J59" s="345">
        <f>SUM(J42:J58)</f>
        <v>1.6616499999999998</v>
      </c>
      <c r="K59" s="345">
        <f t="shared" si="36"/>
        <v>0</v>
      </c>
      <c r="L59" s="345">
        <f t="shared" si="36"/>
        <v>0</v>
      </c>
      <c r="M59" s="345">
        <f t="shared" si="36"/>
        <v>1.6616499999999998</v>
      </c>
      <c r="N59" s="345">
        <f t="shared" si="36"/>
        <v>1.6616499999999998</v>
      </c>
      <c r="O59" s="345">
        <f>SUM(O42:O58)</f>
        <v>3.3232999999999997</v>
      </c>
      <c r="P59" s="345">
        <f t="shared" ref="P59" si="37">SUM(P42:P58)</f>
        <v>0</v>
      </c>
      <c r="Q59" s="345">
        <f t="shared" si="36"/>
        <v>0</v>
      </c>
      <c r="R59" s="345">
        <f t="shared" si="36"/>
        <v>4.9849499999999995</v>
      </c>
      <c r="S59" s="345">
        <f t="shared" si="36"/>
        <v>4.9849499999999995</v>
      </c>
      <c r="T59" s="345">
        <f>SUM(T42:T58)</f>
        <v>3.3232999999999997</v>
      </c>
      <c r="U59" s="345">
        <f t="shared" ref="U59" si="38">SUM(U42:U58)</f>
        <v>0</v>
      </c>
      <c r="V59" s="345">
        <f t="shared" si="36"/>
        <v>0</v>
      </c>
      <c r="W59" s="345">
        <f t="shared" si="36"/>
        <v>8.3082499999999992</v>
      </c>
      <c r="X59" s="345">
        <f t="shared" si="36"/>
        <v>8.3082499999999992</v>
      </c>
      <c r="Y59" s="78"/>
      <c r="Z59" s="78"/>
      <c r="AA59" s="815"/>
      <c r="AB59" s="78"/>
      <c r="AC59" s="1098"/>
    </row>
    <row r="60" spans="2:29" ht="16" x14ac:dyDescent="0.3">
      <c r="B60" s="258"/>
      <c r="C60" s="260"/>
      <c r="D60" s="260"/>
      <c r="E60" s="1096">
        <f>'F5'!T86</f>
        <v>5</v>
      </c>
      <c r="F60" s="260"/>
      <c r="G60" s="260"/>
      <c r="H60" s="260"/>
      <c r="J60" s="1097">
        <f>E60-1</f>
        <v>4</v>
      </c>
      <c r="K60" s="258"/>
      <c r="L60" s="258"/>
      <c r="M60" s="258"/>
      <c r="O60" s="1097">
        <f>J60-1</f>
        <v>3</v>
      </c>
      <c r="P60" s="258"/>
      <c r="Q60" s="258"/>
      <c r="R60" s="258"/>
      <c r="T60" s="1097">
        <f>O60-1</f>
        <v>2</v>
      </c>
      <c r="U60" s="818"/>
      <c r="V60" s="818"/>
      <c r="X60" s="258"/>
      <c r="Y60" s="1097">
        <f>T60-1</f>
        <v>1</v>
      </c>
      <c r="Z60" s="258"/>
      <c r="AA60" s="258"/>
      <c r="AB60" s="258"/>
    </row>
    <row r="62" spans="2:29" x14ac:dyDescent="0.3">
      <c r="B62" s="802" t="s">
        <v>341</v>
      </c>
    </row>
    <row r="63" spans="2:29" ht="15" customHeight="1" x14ac:dyDescent="0.3">
      <c r="B63" s="258"/>
      <c r="C63" s="260"/>
      <c r="D63" s="260"/>
      <c r="E63" s="260"/>
      <c r="F63" s="260"/>
      <c r="G63" s="260"/>
      <c r="H63" s="260"/>
      <c r="I63" s="260"/>
      <c r="J63" s="260"/>
      <c r="K63" s="260"/>
      <c r="L63" s="260"/>
      <c r="M63" s="260"/>
      <c r="N63" s="258"/>
      <c r="O63" s="258"/>
      <c r="P63" s="258"/>
      <c r="Q63" s="258"/>
      <c r="R63" s="258"/>
      <c r="S63" s="258"/>
      <c r="T63" s="258"/>
      <c r="U63" s="258"/>
      <c r="V63" s="258"/>
      <c r="W63" s="258"/>
      <c r="X63" s="258"/>
      <c r="Y63" s="258"/>
      <c r="Z63" s="258"/>
      <c r="AA63" s="258"/>
      <c r="AB63" s="255" t="s">
        <v>10</v>
      </c>
    </row>
    <row r="64" spans="2:29" x14ac:dyDescent="0.3">
      <c r="B64" s="1639" t="s">
        <v>340</v>
      </c>
      <c r="C64" s="1639" t="s">
        <v>38</v>
      </c>
      <c r="D64" s="1770" t="s">
        <v>1067</v>
      </c>
      <c r="E64" s="1771"/>
      <c r="F64" s="1771"/>
      <c r="G64" s="1771"/>
      <c r="H64" s="1772"/>
      <c r="I64" s="1758" t="s">
        <v>1068</v>
      </c>
      <c r="J64" s="1758"/>
      <c r="K64" s="1758"/>
      <c r="L64" s="1758"/>
      <c r="M64" s="1758"/>
      <c r="N64" s="1758" t="s">
        <v>1069</v>
      </c>
      <c r="O64" s="1758"/>
      <c r="P64" s="1758"/>
      <c r="Q64" s="1758"/>
      <c r="R64" s="1758"/>
      <c r="S64" s="1758" t="s">
        <v>1070</v>
      </c>
      <c r="T64" s="1758"/>
      <c r="U64" s="1758"/>
      <c r="V64" s="1758"/>
      <c r="W64" s="1758"/>
      <c r="X64" s="1758" t="s">
        <v>1071</v>
      </c>
      <c r="Y64" s="1758"/>
      <c r="Z64" s="1758"/>
      <c r="AA64" s="1758"/>
      <c r="AB64" s="1758"/>
    </row>
    <row r="65" spans="2:28" x14ac:dyDescent="0.3">
      <c r="B65" s="1639"/>
      <c r="C65" s="1639"/>
      <c r="D65" s="1762" t="s">
        <v>21</v>
      </c>
      <c r="E65" s="1763"/>
      <c r="F65" s="1763"/>
      <c r="G65" s="1763"/>
      <c r="H65" s="1763"/>
      <c r="I65" s="1759" t="s">
        <v>21</v>
      </c>
      <c r="J65" s="1760"/>
      <c r="K65" s="1760"/>
      <c r="L65" s="1760"/>
      <c r="M65" s="1761"/>
      <c r="N65" s="1762" t="s">
        <v>21</v>
      </c>
      <c r="O65" s="1763"/>
      <c r="P65" s="1763"/>
      <c r="Q65" s="1763"/>
      <c r="R65" s="1763"/>
      <c r="S65" s="1762" t="s">
        <v>21</v>
      </c>
      <c r="T65" s="1763"/>
      <c r="U65" s="1763"/>
      <c r="V65" s="1763"/>
      <c r="W65" s="1763"/>
      <c r="X65" s="1762" t="s">
        <v>21</v>
      </c>
      <c r="Y65" s="1763"/>
      <c r="Z65" s="1763"/>
      <c r="AA65" s="1763"/>
      <c r="AB65" s="1763"/>
    </row>
    <row r="66" spans="2:28" ht="42" x14ac:dyDescent="0.3">
      <c r="B66" s="1639"/>
      <c r="C66" s="1639"/>
      <c r="D66" s="803" t="s">
        <v>267</v>
      </c>
      <c r="E66" s="803" t="s">
        <v>268</v>
      </c>
      <c r="F66" s="259" t="s">
        <v>274</v>
      </c>
      <c r="G66" s="801" t="s">
        <v>586</v>
      </c>
      <c r="H66" s="803" t="s">
        <v>270</v>
      </c>
      <c r="I66" s="803" t="s">
        <v>267</v>
      </c>
      <c r="J66" s="803" t="s">
        <v>268</v>
      </c>
      <c r="K66" s="259" t="s">
        <v>274</v>
      </c>
      <c r="L66" s="801" t="s">
        <v>586</v>
      </c>
      <c r="M66" s="803" t="s">
        <v>270</v>
      </c>
      <c r="N66" s="803" t="s">
        <v>267</v>
      </c>
      <c r="O66" s="803" t="s">
        <v>268</v>
      </c>
      <c r="P66" s="259" t="s">
        <v>274</v>
      </c>
      <c r="Q66" s="801" t="s">
        <v>586</v>
      </c>
      <c r="R66" s="803" t="s">
        <v>270</v>
      </c>
      <c r="S66" s="803" t="s">
        <v>267</v>
      </c>
      <c r="T66" s="803" t="s">
        <v>268</v>
      </c>
      <c r="U66" s="259" t="s">
        <v>274</v>
      </c>
      <c r="V66" s="801" t="s">
        <v>586</v>
      </c>
      <c r="W66" s="803" t="s">
        <v>270</v>
      </c>
      <c r="X66" s="803" t="s">
        <v>267</v>
      </c>
      <c r="Y66" s="803" t="s">
        <v>268</v>
      </c>
      <c r="Z66" s="259" t="s">
        <v>274</v>
      </c>
      <c r="AA66" s="801" t="s">
        <v>586</v>
      </c>
      <c r="AB66" s="803" t="s">
        <v>270</v>
      </c>
    </row>
    <row r="67" spans="2:28" x14ac:dyDescent="0.3">
      <c r="B67" s="256"/>
      <c r="C67" s="256"/>
      <c r="D67" s="256" t="s">
        <v>82</v>
      </c>
      <c r="E67" s="256" t="s">
        <v>83</v>
      </c>
      <c r="F67" s="256" t="s">
        <v>459</v>
      </c>
      <c r="G67" s="256" t="s">
        <v>391</v>
      </c>
      <c r="H67" s="256" t="s">
        <v>587</v>
      </c>
      <c r="I67" s="256" t="s">
        <v>409</v>
      </c>
      <c r="J67" s="256" t="s">
        <v>508</v>
      </c>
      <c r="K67" s="256" t="s">
        <v>410</v>
      </c>
      <c r="L67" s="256" t="s">
        <v>411</v>
      </c>
      <c r="M67" s="256" t="s">
        <v>652</v>
      </c>
      <c r="N67" s="256" t="s">
        <v>588</v>
      </c>
      <c r="O67" s="256" t="s">
        <v>653</v>
      </c>
      <c r="P67" s="256" t="s">
        <v>589</v>
      </c>
      <c r="Q67" s="256" t="s">
        <v>590</v>
      </c>
      <c r="R67" s="256" t="s">
        <v>1152</v>
      </c>
      <c r="S67" s="256" t="s">
        <v>591</v>
      </c>
      <c r="T67" s="256" t="s">
        <v>592</v>
      </c>
      <c r="U67" s="256" t="s">
        <v>654</v>
      </c>
      <c r="V67" s="256" t="s">
        <v>593</v>
      </c>
      <c r="W67" s="256" t="s">
        <v>1153</v>
      </c>
      <c r="X67" s="256" t="s">
        <v>594</v>
      </c>
      <c r="Y67" s="256" t="s">
        <v>595</v>
      </c>
      <c r="Z67" s="256" t="s">
        <v>596</v>
      </c>
      <c r="AA67" s="256" t="s">
        <v>655</v>
      </c>
      <c r="AB67" s="256" t="s">
        <v>1154</v>
      </c>
    </row>
    <row r="68" spans="2:28" x14ac:dyDescent="0.3">
      <c r="B68" s="448">
        <v>1</v>
      </c>
      <c r="C68" s="450" t="s">
        <v>845</v>
      </c>
      <c r="D68" s="812">
        <f>D14-D42</f>
        <v>0</v>
      </c>
      <c r="E68" s="812">
        <f t="shared" ref="E68:F68" si="39">E14-E42</f>
        <v>0</v>
      </c>
      <c r="F68" s="812">
        <f t="shared" si="39"/>
        <v>0</v>
      </c>
      <c r="G68" s="812"/>
      <c r="H68" s="346">
        <f t="shared" ref="H68:H84" si="40">D68+E68-F68-G68</f>
        <v>0</v>
      </c>
      <c r="I68" s="812">
        <f>I14-I42</f>
        <v>0</v>
      </c>
      <c r="J68" s="812">
        <f t="shared" ref="J68:K68" si="41">J14-J42</f>
        <v>0</v>
      </c>
      <c r="K68" s="812">
        <f t="shared" si="41"/>
        <v>0</v>
      </c>
      <c r="L68" s="812"/>
      <c r="M68" s="346">
        <f t="shared" ref="M68:M84" si="42">I68+J68-K68-L68</f>
        <v>0</v>
      </c>
      <c r="N68" s="812">
        <f>N14-N42</f>
        <v>0</v>
      </c>
      <c r="O68" s="812">
        <f t="shared" ref="O68:P68" si="43">O14-O42</f>
        <v>0</v>
      </c>
      <c r="P68" s="812">
        <f t="shared" si="43"/>
        <v>0</v>
      </c>
      <c r="Q68" s="812"/>
      <c r="R68" s="346">
        <f t="shared" ref="R68:R84" si="44">N68+O68-P68-Q68</f>
        <v>0</v>
      </c>
      <c r="S68" s="812">
        <f>S14-S42</f>
        <v>0</v>
      </c>
      <c r="T68" s="812">
        <f t="shared" ref="T68:U68" si="45">T14-T42</f>
        <v>0</v>
      </c>
      <c r="U68" s="812">
        <f t="shared" si="45"/>
        <v>0</v>
      </c>
      <c r="V68" s="812"/>
      <c r="W68" s="346">
        <f t="shared" ref="W68:W84" si="46">S68+T68-U68-V68</f>
        <v>0</v>
      </c>
      <c r="X68" s="812">
        <f>X14-X42</f>
        <v>0</v>
      </c>
      <c r="Y68" s="812">
        <f t="shared" ref="Y68:Z68" si="47">Y14-Y42</f>
        <v>0</v>
      </c>
      <c r="Z68" s="812">
        <f t="shared" si="47"/>
        <v>0</v>
      </c>
      <c r="AA68" s="812"/>
      <c r="AB68" s="346">
        <f t="shared" ref="AB68:AB84" si="48">X68+Y68-Z68-AA68</f>
        <v>0</v>
      </c>
    </row>
    <row r="69" spans="2:28" x14ac:dyDescent="0.3">
      <c r="B69" s="448">
        <f>B68+1</f>
        <v>2</v>
      </c>
      <c r="C69" s="450" t="s">
        <v>846</v>
      </c>
      <c r="D69" s="812">
        <f t="shared" ref="D69:F69" si="49">D15-D43</f>
        <v>0</v>
      </c>
      <c r="E69" s="812">
        <f t="shared" si="49"/>
        <v>0</v>
      </c>
      <c r="F69" s="812">
        <f t="shared" si="49"/>
        <v>0</v>
      </c>
      <c r="G69" s="812"/>
      <c r="H69" s="346">
        <f t="shared" si="40"/>
        <v>0</v>
      </c>
      <c r="I69" s="812">
        <f t="shared" ref="I69:K69" si="50">I15-I43</f>
        <v>0</v>
      </c>
      <c r="J69" s="812">
        <f t="shared" si="50"/>
        <v>0</v>
      </c>
      <c r="K69" s="812">
        <f t="shared" si="50"/>
        <v>0</v>
      </c>
      <c r="L69" s="812"/>
      <c r="M69" s="346">
        <f t="shared" si="42"/>
        <v>0</v>
      </c>
      <c r="N69" s="812">
        <f t="shared" ref="N69:P69" si="51">N15-N43</f>
        <v>0</v>
      </c>
      <c r="O69" s="812">
        <f t="shared" si="51"/>
        <v>0</v>
      </c>
      <c r="P69" s="812">
        <f t="shared" si="51"/>
        <v>0</v>
      </c>
      <c r="Q69" s="812"/>
      <c r="R69" s="346">
        <f t="shared" si="44"/>
        <v>0</v>
      </c>
      <c r="S69" s="812">
        <f t="shared" ref="S69:U69" si="52">S15-S43</f>
        <v>0</v>
      </c>
      <c r="T69" s="812">
        <f t="shared" si="52"/>
        <v>0</v>
      </c>
      <c r="U69" s="812">
        <f t="shared" si="52"/>
        <v>0</v>
      </c>
      <c r="V69" s="812"/>
      <c r="W69" s="346">
        <f t="shared" si="46"/>
        <v>0</v>
      </c>
      <c r="X69" s="812">
        <f t="shared" ref="X69:Z69" si="53">X15-X43</f>
        <v>0</v>
      </c>
      <c r="Y69" s="812">
        <f t="shared" si="53"/>
        <v>0</v>
      </c>
      <c r="Z69" s="812">
        <f t="shared" si="53"/>
        <v>0</v>
      </c>
      <c r="AA69" s="812"/>
      <c r="AB69" s="346">
        <f t="shared" si="48"/>
        <v>0</v>
      </c>
    </row>
    <row r="70" spans="2:28" x14ac:dyDescent="0.3">
      <c r="B70" s="448">
        <f t="shared" ref="B70:B84" si="54">B69+1</f>
        <v>3</v>
      </c>
      <c r="C70" s="450" t="s">
        <v>847</v>
      </c>
      <c r="D70" s="812">
        <f t="shared" ref="D70:F70" si="55">D16-D44</f>
        <v>0</v>
      </c>
      <c r="E70" s="812">
        <f t="shared" si="55"/>
        <v>0</v>
      </c>
      <c r="F70" s="812">
        <f t="shared" si="55"/>
        <v>0</v>
      </c>
      <c r="G70" s="812"/>
      <c r="H70" s="346">
        <f t="shared" si="40"/>
        <v>0</v>
      </c>
      <c r="I70" s="812">
        <f t="shared" ref="I70:K70" si="56">I16-I44</f>
        <v>0</v>
      </c>
      <c r="J70" s="812">
        <f t="shared" si="56"/>
        <v>0</v>
      </c>
      <c r="K70" s="812">
        <f t="shared" si="56"/>
        <v>0</v>
      </c>
      <c r="L70" s="812"/>
      <c r="M70" s="346">
        <f t="shared" si="42"/>
        <v>0</v>
      </c>
      <c r="N70" s="812">
        <f t="shared" ref="N70:P70" si="57">N16-N44</f>
        <v>0</v>
      </c>
      <c r="O70" s="812">
        <f t="shared" si="57"/>
        <v>0</v>
      </c>
      <c r="P70" s="812">
        <f t="shared" si="57"/>
        <v>0</v>
      </c>
      <c r="Q70" s="812"/>
      <c r="R70" s="346">
        <f t="shared" si="44"/>
        <v>0</v>
      </c>
      <c r="S70" s="812">
        <f t="shared" ref="S70:U70" si="58">S16-S44</f>
        <v>0</v>
      </c>
      <c r="T70" s="812">
        <f t="shared" si="58"/>
        <v>0</v>
      </c>
      <c r="U70" s="812">
        <f t="shared" si="58"/>
        <v>0</v>
      </c>
      <c r="V70" s="812"/>
      <c r="W70" s="346">
        <f t="shared" si="46"/>
        <v>0</v>
      </c>
      <c r="X70" s="812">
        <f t="shared" ref="X70:Z70" si="59">X16-X44</f>
        <v>0</v>
      </c>
      <c r="Y70" s="812">
        <f t="shared" si="59"/>
        <v>0</v>
      </c>
      <c r="Z70" s="812">
        <f t="shared" si="59"/>
        <v>0</v>
      </c>
      <c r="AA70" s="812"/>
      <c r="AB70" s="346">
        <f t="shared" si="48"/>
        <v>0</v>
      </c>
    </row>
    <row r="71" spans="2:28" x14ac:dyDescent="0.3">
      <c r="B71" s="448">
        <f t="shared" si="54"/>
        <v>4</v>
      </c>
      <c r="C71" s="450" t="s">
        <v>848</v>
      </c>
      <c r="D71" s="812">
        <f t="shared" ref="D71:F71" si="60">D17-D45</f>
        <v>0</v>
      </c>
      <c r="E71" s="812">
        <f t="shared" si="60"/>
        <v>0</v>
      </c>
      <c r="F71" s="812">
        <f t="shared" si="60"/>
        <v>0</v>
      </c>
      <c r="G71" s="812"/>
      <c r="H71" s="346">
        <f t="shared" si="40"/>
        <v>0</v>
      </c>
      <c r="I71" s="812">
        <f t="shared" ref="I71:K71" si="61">I17-I45</f>
        <v>0</v>
      </c>
      <c r="J71" s="812">
        <f t="shared" si="61"/>
        <v>0</v>
      </c>
      <c r="K71" s="812">
        <f t="shared" si="61"/>
        <v>0</v>
      </c>
      <c r="L71" s="812"/>
      <c r="M71" s="346">
        <f t="shared" si="42"/>
        <v>0</v>
      </c>
      <c r="N71" s="812">
        <f t="shared" ref="N71:P71" si="62">N17-N45</f>
        <v>0</v>
      </c>
      <c r="O71" s="812">
        <f t="shared" si="62"/>
        <v>0</v>
      </c>
      <c r="P71" s="812">
        <f t="shared" si="62"/>
        <v>0</v>
      </c>
      <c r="Q71" s="812"/>
      <c r="R71" s="346">
        <f t="shared" si="44"/>
        <v>0</v>
      </c>
      <c r="S71" s="812">
        <f t="shared" ref="S71:U71" si="63">S17-S45</f>
        <v>0</v>
      </c>
      <c r="T71" s="812">
        <f t="shared" si="63"/>
        <v>0</v>
      </c>
      <c r="U71" s="812">
        <f t="shared" si="63"/>
        <v>0</v>
      </c>
      <c r="V71" s="812"/>
      <c r="W71" s="346">
        <f t="shared" si="46"/>
        <v>0</v>
      </c>
      <c r="X71" s="812">
        <f t="shared" ref="X71:Z71" si="64">X17-X45</f>
        <v>0</v>
      </c>
      <c r="Y71" s="812">
        <f t="shared" si="64"/>
        <v>0</v>
      </c>
      <c r="Z71" s="812">
        <f t="shared" si="64"/>
        <v>0</v>
      </c>
      <c r="AA71" s="812"/>
      <c r="AB71" s="346">
        <f t="shared" si="48"/>
        <v>0</v>
      </c>
    </row>
    <row r="72" spans="2:28" x14ac:dyDescent="0.3">
      <c r="B72" s="448">
        <f t="shared" si="54"/>
        <v>5</v>
      </c>
      <c r="C72" s="450" t="s">
        <v>849</v>
      </c>
      <c r="D72" s="812">
        <f t="shared" ref="D72:F72" si="65">D18-D46</f>
        <v>0</v>
      </c>
      <c r="E72" s="812">
        <f t="shared" si="65"/>
        <v>0</v>
      </c>
      <c r="F72" s="812">
        <f t="shared" si="65"/>
        <v>0</v>
      </c>
      <c r="G72" s="812"/>
      <c r="H72" s="346">
        <f t="shared" si="40"/>
        <v>0</v>
      </c>
      <c r="I72" s="812">
        <f t="shared" ref="I72:K72" si="66">I18-I46</f>
        <v>0</v>
      </c>
      <c r="J72" s="812">
        <f t="shared" si="66"/>
        <v>97.838350000000005</v>
      </c>
      <c r="K72" s="812">
        <f t="shared" si="66"/>
        <v>0</v>
      </c>
      <c r="L72" s="812"/>
      <c r="M72" s="346">
        <f t="shared" si="42"/>
        <v>97.838350000000005</v>
      </c>
      <c r="N72" s="812">
        <f t="shared" ref="N72:P72" si="67">N18-N46</f>
        <v>97.838350000000005</v>
      </c>
      <c r="O72" s="812">
        <f t="shared" si="67"/>
        <v>-3.3232999999999997</v>
      </c>
      <c r="P72" s="812">
        <f t="shared" si="67"/>
        <v>0</v>
      </c>
      <c r="Q72" s="812"/>
      <c r="R72" s="346">
        <f t="shared" si="44"/>
        <v>94.515050000000002</v>
      </c>
      <c r="S72" s="812">
        <f t="shared" ref="S72:U72" si="68">S18-S46</f>
        <v>94.515050000000002</v>
      </c>
      <c r="T72" s="812">
        <f t="shared" si="68"/>
        <v>-3.3232999999999997</v>
      </c>
      <c r="U72" s="812">
        <f t="shared" si="68"/>
        <v>0</v>
      </c>
      <c r="V72" s="812"/>
      <c r="W72" s="346">
        <f t="shared" si="46"/>
        <v>91.191749999999999</v>
      </c>
      <c r="X72" s="812">
        <f t="shared" ref="X72:Z72" si="69">X18-X46</f>
        <v>91.191749999999999</v>
      </c>
      <c r="Y72" s="812">
        <f t="shared" si="69"/>
        <v>-3.3232999999999997</v>
      </c>
      <c r="Z72" s="812">
        <f t="shared" si="69"/>
        <v>0</v>
      </c>
      <c r="AA72" s="812"/>
      <c r="AB72" s="346">
        <f t="shared" si="48"/>
        <v>87.868449999999996</v>
      </c>
    </row>
    <row r="73" spans="2:28" x14ac:dyDescent="0.3">
      <c r="B73" s="448">
        <f t="shared" si="54"/>
        <v>6</v>
      </c>
      <c r="C73" s="450" t="s">
        <v>256</v>
      </c>
      <c r="D73" s="812">
        <f t="shared" ref="D73:F73" si="70">D19-D47</f>
        <v>0</v>
      </c>
      <c r="E73" s="812">
        <f t="shared" si="70"/>
        <v>0</v>
      </c>
      <c r="F73" s="812">
        <f t="shared" si="70"/>
        <v>0</v>
      </c>
      <c r="G73" s="812"/>
      <c r="H73" s="346">
        <f t="shared" si="40"/>
        <v>0</v>
      </c>
      <c r="I73" s="812">
        <f t="shared" ref="I73:K73" si="71">I19-I47</f>
        <v>0</v>
      </c>
      <c r="J73" s="812">
        <f t="shared" si="71"/>
        <v>0</v>
      </c>
      <c r="K73" s="812">
        <f t="shared" si="71"/>
        <v>0</v>
      </c>
      <c r="L73" s="812"/>
      <c r="M73" s="346">
        <f t="shared" si="42"/>
        <v>0</v>
      </c>
      <c r="N73" s="812">
        <f t="shared" ref="N73:P73" si="72">N19-N47</f>
        <v>0</v>
      </c>
      <c r="O73" s="812">
        <f t="shared" si="72"/>
        <v>0</v>
      </c>
      <c r="P73" s="812">
        <f t="shared" si="72"/>
        <v>0</v>
      </c>
      <c r="Q73" s="812"/>
      <c r="R73" s="346">
        <f t="shared" si="44"/>
        <v>0</v>
      </c>
      <c r="S73" s="812">
        <f t="shared" ref="S73:U73" si="73">S19-S47</f>
        <v>0</v>
      </c>
      <c r="T73" s="812">
        <f t="shared" si="73"/>
        <v>0</v>
      </c>
      <c r="U73" s="812">
        <f t="shared" si="73"/>
        <v>0</v>
      </c>
      <c r="V73" s="812"/>
      <c r="W73" s="346">
        <f t="shared" si="46"/>
        <v>0</v>
      </c>
      <c r="X73" s="812">
        <f t="shared" ref="X73:Z73" si="74">X19-X47</f>
        <v>0</v>
      </c>
      <c r="Y73" s="812">
        <f t="shared" si="74"/>
        <v>0</v>
      </c>
      <c r="Z73" s="812">
        <f t="shared" si="74"/>
        <v>0</v>
      </c>
      <c r="AA73" s="812"/>
      <c r="AB73" s="346">
        <f t="shared" si="48"/>
        <v>0</v>
      </c>
    </row>
    <row r="74" spans="2:28" x14ac:dyDescent="0.3">
      <c r="B74" s="448">
        <f t="shared" si="54"/>
        <v>7</v>
      </c>
      <c r="C74" s="450" t="s">
        <v>850</v>
      </c>
      <c r="D74" s="812">
        <f t="shared" ref="D74:F74" si="75">D20-D48</f>
        <v>0</v>
      </c>
      <c r="E74" s="812">
        <f t="shared" si="75"/>
        <v>0</v>
      </c>
      <c r="F74" s="812">
        <f t="shared" si="75"/>
        <v>0</v>
      </c>
      <c r="G74" s="812"/>
      <c r="H74" s="346">
        <f t="shared" si="40"/>
        <v>0</v>
      </c>
      <c r="I74" s="812">
        <f t="shared" ref="I74:K74" si="76">I20-I48</f>
        <v>0</v>
      </c>
      <c r="J74" s="812">
        <f t="shared" si="76"/>
        <v>0</v>
      </c>
      <c r="K74" s="812">
        <f t="shared" si="76"/>
        <v>0</v>
      </c>
      <c r="L74" s="812"/>
      <c r="M74" s="346">
        <f t="shared" si="42"/>
        <v>0</v>
      </c>
      <c r="N74" s="812">
        <f t="shared" ref="N74:P74" si="77">N20-N48</f>
        <v>0</v>
      </c>
      <c r="O74" s="812">
        <f t="shared" si="77"/>
        <v>0</v>
      </c>
      <c r="P74" s="812">
        <f t="shared" si="77"/>
        <v>0</v>
      </c>
      <c r="Q74" s="812"/>
      <c r="R74" s="346">
        <f t="shared" si="44"/>
        <v>0</v>
      </c>
      <c r="S74" s="812">
        <f t="shared" ref="S74:U74" si="78">S20-S48</f>
        <v>0</v>
      </c>
      <c r="T74" s="812">
        <f t="shared" si="78"/>
        <v>0</v>
      </c>
      <c r="U74" s="812">
        <f t="shared" si="78"/>
        <v>0</v>
      </c>
      <c r="V74" s="812"/>
      <c r="W74" s="346">
        <f t="shared" si="46"/>
        <v>0</v>
      </c>
      <c r="X74" s="812">
        <f t="shared" ref="X74:Z74" si="79">X20-X48</f>
        <v>0</v>
      </c>
      <c r="Y74" s="812">
        <f t="shared" si="79"/>
        <v>0</v>
      </c>
      <c r="Z74" s="812">
        <f t="shared" si="79"/>
        <v>0</v>
      </c>
      <c r="AA74" s="812"/>
      <c r="AB74" s="346">
        <f t="shared" si="48"/>
        <v>0</v>
      </c>
    </row>
    <row r="75" spans="2:28" x14ac:dyDescent="0.3">
      <c r="B75" s="448">
        <f t="shared" si="54"/>
        <v>8</v>
      </c>
      <c r="C75" s="450" t="s">
        <v>851</v>
      </c>
      <c r="D75" s="812">
        <f t="shared" ref="D75:F75" si="80">D21-D49</f>
        <v>0</v>
      </c>
      <c r="E75" s="812">
        <f t="shared" si="80"/>
        <v>0</v>
      </c>
      <c r="F75" s="812">
        <f t="shared" si="80"/>
        <v>0</v>
      </c>
      <c r="G75" s="812"/>
      <c r="H75" s="346">
        <f t="shared" si="40"/>
        <v>0</v>
      </c>
      <c r="I75" s="812">
        <f t="shared" ref="I75:K75" si="81">I21-I49</f>
        <v>0</v>
      </c>
      <c r="J75" s="812">
        <f t="shared" si="81"/>
        <v>0</v>
      </c>
      <c r="K75" s="812">
        <f t="shared" si="81"/>
        <v>0</v>
      </c>
      <c r="L75" s="812"/>
      <c r="M75" s="346">
        <f t="shared" si="42"/>
        <v>0</v>
      </c>
      <c r="N75" s="812">
        <f t="shared" ref="N75:P75" si="82">N21-N49</f>
        <v>0</v>
      </c>
      <c r="O75" s="812">
        <f t="shared" si="82"/>
        <v>0</v>
      </c>
      <c r="P75" s="812">
        <f t="shared" si="82"/>
        <v>0</v>
      </c>
      <c r="Q75" s="812"/>
      <c r="R75" s="346">
        <f t="shared" si="44"/>
        <v>0</v>
      </c>
      <c r="S75" s="812">
        <f t="shared" ref="S75:U75" si="83">S21-S49</f>
        <v>0</v>
      </c>
      <c r="T75" s="812">
        <f t="shared" si="83"/>
        <v>0</v>
      </c>
      <c r="U75" s="812">
        <f t="shared" si="83"/>
        <v>0</v>
      </c>
      <c r="V75" s="812"/>
      <c r="W75" s="346">
        <f t="shared" si="46"/>
        <v>0</v>
      </c>
      <c r="X75" s="812">
        <f t="shared" ref="X75:Z75" si="84">X21-X49</f>
        <v>0</v>
      </c>
      <c r="Y75" s="812">
        <f t="shared" si="84"/>
        <v>0</v>
      </c>
      <c r="Z75" s="812">
        <f t="shared" si="84"/>
        <v>0</v>
      </c>
      <c r="AA75" s="812"/>
      <c r="AB75" s="346">
        <f t="shared" si="48"/>
        <v>0</v>
      </c>
    </row>
    <row r="76" spans="2:28" x14ac:dyDescent="0.3">
      <c r="B76" s="448">
        <f t="shared" si="54"/>
        <v>9</v>
      </c>
      <c r="C76" s="450" t="s">
        <v>852</v>
      </c>
      <c r="D76" s="812">
        <f t="shared" ref="D76:F76" si="85">D22-D50</f>
        <v>0</v>
      </c>
      <c r="E76" s="812">
        <f t="shared" si="85"/>
        <v>0</v>
      </c>
      <c r="F76" s="812">
        <f t="shared" si="85"/>
        <v>0</v>
      </c>
      <c r="G76" s="812"/>
      <c r="H76" s="346">
        <f t="shared" si="40"/>
        <v>0</v>
      </c>
      <c r="I76" s="812">
        <f t="shared" ref="I76:K76" si="86">I22-I50</f>
        <v>0</v>
      </c>
      <c r="J76" s="812">
        <f t="shared" si="86"/>
        <v>0</v>
      </c>
      <c r="K76" s="812">
        <f t="shared" si="86"/>
        <v>0</v>
      </c>
      <c r="L76" s="812"/>
      <c r="M76" s="346">
        <f t="shared" si="42"/>
        <v>0</v>
      </c>
      <c r="N76" s="812">
        <f t="shared" ref="N76:P76" si="87">N22-N50</f>
        <v>0</v>
      </c>
      <c r="O76" s="812">
        <f t="shared" si="87"/>
        <v>0</v>
      </c>
      <c r="P76" s="812">
        <f t="shared" si="87"/>
        <v>0</v>
      </c>
      <c r="Q76" s="812"/>
      <c r="R76" s="346">
        <f t="shared" si="44"/>
        <v>0</v>
      </c>
      <c r="S76" s="812">
        <f t="shared" ref="S76:U76" si="88">S22-S50</f>
        <v>0</v>
      </c>
      <c r="T76" s="812">
        <f t="shared" si="88"/>
        <v>0</v>
      </c>
      <c r="U76" s="812">
        <f t="shared" si="88"/>
        <v>0</v>
      </c>
      <c r="V76" s="812"/>
      <c r="W76" s="346">
        <f t="shared" si="46"/>
        <v>0</v>
      </c>
      <c r="X76" s="812">
        <f t="shared" ref="X76:Z76" si="89">X22-X50</f>
        <v>0</v>
      </c>
      <c r="Y76" s="812">
        <f t="shared" si="89"/>
        <v>0</v>
      </c>
      <c r="Z76" s="812">
        <f t="shared" si="89"/>
        <v>0</v>
      </c>
      <c r="AA76" s="812"/>
      <c r="AB76" s="346">
        <f t="shared" si="48"/>
        <v>0</v>
      </c>
    </row>
    <row r="77" spans="2:28" x14ac:dyDescent="0.3">
      <c r="B77" s="448">
        <f t="shared" si="54"/>
        <v>10</v>
      </c>
      <c r="C77" s="450" t="s">
        <v>259</v>
      </c>
      <c r="D77" s="812">
        <f t="shared" ref="D77:F77" si="90">D23-D51</f>
        <v>0</v>
      </c>
      <c r="E77" s="812">
        <f t="shared" si="90"/>
        <v>0</v>
      </c>
      <c r="F77" s="812">
        <f t="shared" si="90"/>
        <v>0</v>
      </c>
      <c r="G77" s="812"/>
      <c r="H77" s="346">
        <f t="shared" si="40"/>
        <v>0</v>
      </c>
      <c r="I77" s="812">
        <f t="shared" ref="I77:K77" si="91">I23-I51</f>
        <v>0</v>
      </c>
      <c r="J77" s="812">
        <f t="shared" si="91"/>
        <v>0</v>
      </c>
      <c r="K77" s="812">
        <f t="shared" si="91"/>
        <v>0</v>
      </c>
      <c r="L77" s="812"/>
      <c r="M77" s="346">
        <f t="shared" si="42"/>
        <v>0</v>
      </c>
      <c r="N77" s="812">
        <f t="shared" ref="N77:P77" si="92">N23-N51</f>
        <v>0</v>
      </c>
      <c r="O77" s="812">
        <f t="shared" si="92"/>
        <v>0</v>
      </c>
      <c r="P77" s="812">
        <f t="shared" si="92"/>
        <v>0</v>
      </c>
      <c r="Q77" s="812"/>
      <c r="R77" s="346">
        <f t="shared" si="44"/>
        <v>0</v>
      </c>
      <c r="S77" s="812">
        <f t="shared" ref="S77:U77" si="93">S23-S51</f>
        <v>0</v>
      </c>
      <c r="T77" s="812">
        <f t="shared" si="93"/>
        <v>0</v>
      </c>
      <c r="U77" s="812">
        <f t="shared" si="93"/>
        <v>0</v>
      </c>
      <c r="V77" s="812"/>
      <c r="W77" s="346">
        <f t="shared" si="46"/>
        <v>0</v>
      </c>
      <c r="X77" s="812">
        <f t="shared" ref="X77:Z77" si="94">X23-X51</f>
        <v>0</v>
      </c>
      <c r="Y77" s="812">
        <f t="shared" si="94"/>
        <v>0</v>
      </c>
      <c r="Z77" s="812">
        <f t="shared" si="94"/>
        <v>0</v>
      </c>
      <c r="AA77" s="812"/>
      <c r="AB77" s="346">
        <f t="shared" si="48"/>
        <v>0</v>
      </c>
    </row>
    <row r="78" spans="2:28" x14ac:dyDescent="0.3">
      <c r="B78" s="448">
        <f t="shared" si="54"/>
        <v>11</v>
      </c>
      <c r="C78" s="450" t="s">
        <v>260</v>
      </c>
      <c r="D78" s="812">
        <f t="shared" ref="D78:F78" si="95">D24-D52</f>
        <v>0</v>
      </c>
      <c r="E78" s="812">
        <f t="shared" si="95"/>
        <v>0</v>
      </c>
      <c r="F78" s="812">
        <f t="shared" si="95"/>
        <v>0</v>
      </c>
      <c r="G78" s="812"/>
      <c r="H78" s="346">
        <f t="shared" si="40"/>
        <v>0</v>
      </c>
      <c r="I78" s="812">
        <f t="shared" ref="I78:K78" si="96">I24-I52</f>
        <v>0</v>
      </c>
      <c r="J78" s="812">
        <f t="shared" si="96"/>
        <v>0</v>
      </c>
      <c r="K78" s="812">
        <f t="shared" si="96"/>
        <v>0</v>
      </c>
      <c r="L78" s="812"/>
      <c r="M78" s="346">
        <f t="shared" si="42"/>
        <v>0</v>
      </c>
      <c r="N78" s="812">
        <f t="shared" ref="N78:P78" si="97">N24-N52</f>
        <v>0</v>
      </c>
      <c r="O78" s="812">
        <f t="shared" si="97"/>
        <v>0</v>
      </c>
      <c r="P78" s="812">
        <f t="shared" si="97"/>
        <v>0</v>
      </c>
      <c r="Q78" s="812"/>
      <c r="R78" s="346">
        <f t="shared" si="44"/>
        <v>0</v>
      </c>
      <c r="S78" s="812">
        <f t="shared" ref="S78:U78" si="98">S24-S52</f>
        <v>0</v>
      </c>
      <c r="T78" s="812">
        <f t="shared" si="98"/>
        <v>0</v>
      </c>
      <c r="U78" s="812">
        <f t="shared" si="98"/>
        <v>0</v>
      </c>
      <c r="V78" s="812"/>
      <c r="W78" s="346">
        <f t="shared" si="46"/>
        <v>0</v>
      </c>
      <c r="X78" s="812">
        <f t="shared" ref="X78:Z78" si="99">X24-X52</f>
        <v>0</v>
      </c>
      <c r="Y78" s="812">
        <f t="shared" si="99"/>
        <v>0</v>
      </c>
      <c r="Z78" s="812">
        <f t="shared" si="99"/>
        <v>0</v>
      </c>
      <c r="AA78" s="812"/>
      <c r="AB78" s="346">
        <f t="shared" si="48"/>
        <v>0</v>
      </c>
    </row>
    <row r="79" spans="2:28" x14ac:dyDescent="0.3">
      <c r="B79" s="448">
        <f t="shared" si="54"/>
        <v>12</v>
      </c>
      <c r="C79" s="450" t="s">
        <v>261</v>
      </c>
      <c r="D79" s="812">
        <f t="shared" ref="D79:F79" si="100">D25-D53</f>
        <v>0</v>
      </c>
      <c r="E79" s="812">
        <f t="shared" si="100"/>
        <v>0</v>
      </c>
      <c r="F79" s="812">
        <f t="shared" si="100"/>
        <v>0</v>
      </c>
      <c r="G79" s="812"/>
      <c r="H79" s="346">
        <f t="shared" si="40"/>
        <v>0</v>
      </c>
      <c r="I79" s="812">
        <f t="shared" ref="I79:K79" si="101">I25-I53</f>
        <v>0</v>
      </c>
      <c r="J79" s="812">
        <f t="shared" si="101"/>
        <v>0</v>
      </c>
      <c r="K79" s="812">
        <f t="shared" si="101"/>
        <v>0</v>
      </c>
      <c r="L79" s="812"/>
      <c r="M79" s="346">
        <f t="shared" si="42"/>
        <v>0</v>
      </c>
      <c r="N79" s="812">
        <f t="shared" ref="N79:P79" si="102">N25-N53</f>
        <v>0</v>
      </c>
      <c r="O79" s="812">
        <f t="shared" si="102"/>
        <v>0</v>
      </c>
      <c r="P79" s="812">
        <f t="shared" si="102"/>
        <v>0</v>
      </c>
      <c r="Q79" s="812"/>
      <c r="R79" s="346">
        <f t="shared" si="44"/>
        <v>0</v>
      </c>
      <c r="S79" s="812">
        <f t="shared" ref="S79:U79" si="103">S25-S53</f>
        <v>0</v>
      </c>
      <c r="T79" s="812">
        <f t="shared" si="103"/>
        <v>0</v>
      </c>
      <c r="U79" s="812">
        <f t="shared" si="103"/>
        <v>0</v>
      </c>
      <c r="V79" s="812"/>
      <c r="W79" s="346">
        <f t="shared" si="46"/>
        <v>0</v>
      </c>
      <c r="X79" s="812">
        <f t="shared" ref="X79:Z79" si="104">X25-X53</f>
        <v>0</v>
      </c>
      <c r="Y79" s="812">
        <f t="shared" si="104"/>
        <v>0</v>
      </c>
      <c r="Z79" s="812">
        <f t="shared" si="104"/>
        <v>0</v>
      </c>
      <c r="AA79" s="812"/>
      <c r="AB79" s="346">
        <f t="shared" si="48"/>
        <v>0</v>
      </c>
    </row>
    <row r="80" spans="2:28" x14ac:dyDescent="0.3">
      <c r="B80" s="448">
        <f t="shared" si="54"/>
        <v>13</v>
      </c>
      <c r="C80" s="450" t="s">
        <v>899</v>
      </c>
      <c r="D80" s="812">
        <f t="shared" ref="D80:F80" si="105">D26-D54</f>
        <v>0</v>
      </c>
      <c r="E80" s="812">
        <f t="shared" si="105"/>
        <v>0</v>
      </c>
      <c r="F80" s="812">
        <f t="shared" si="105"/>
        <v>0</v>
      </c>
      <c r="G80" s="812"/>
      <c r="H80" s="346">
        <f t="shared" si="40"/>
        <v>0</v>
      </c>
      <c r="I80" s="812">
        <f t="shared" ref="I80:K80" si="106">I26-I54</f>
        <v>0</v>
      </c>
      <c r="J80" s="812">
        <f t="shared" si="106"/>
        <v>0</v>
      </c>
      <c r="K80" s="812">
        <f t="shared" si="106"/>
        <v>0</v>
      </c>
      <c r="L80" s="812"/>
      <c r="M80" s="346">
        <f t="shared" si="42"/>
        <v>0</v>
      </c>
      <c r="N80" s="812">
        <f t="shared" ref="N80:P80" si="107">N26-N54</f>
        <v>0</v>
      </c>
      <c r="O80" s="812">
        <f t="shared" si="107"/>
        <v>0</v>
      </c>
      <c r="P80" s="812">
        <f t="shared" si="107"/>
        <v>0</v>
      </c>
      <c r="Q80" s="812"/>
      <c r="R80" s="346">
        <f t="shared" si="44"/>
        <v>0</v>
      </c>
      <c r="S80" s="812">
        <f t="shared" ref="S80:U80" si="108">S26-S54</f>
        <v>0</v>
      </c>
      <c r="T80" s="812">
        <f t="shared" si="108"/>
        <v>0</v>
      </c>
      <c r="U80" s="812">
        <f t="shared" si="108"/>
        <v>0</v>
      </c>
      <c r="V80" s="812"/>
      <c r="W80" s="346">
        <f t="shared" si="46"/>
        <v>0</v>
      </c>
      <c r="X80" s="812">
        <f t="shared" ref="X80:Z80" si="109">X26-X54</f>
        <v>0</v>
      </c>
      <c r="Y80" s="812">
        <f t="shared" si="109"/>
        <v>0</v>
      </c>
      <c r="Z80" s="812">
        <f t="shared" si="109"/>
        <v>0</v>
      </c>
      <c r="AA80" s="812"/>
      <c r="AB80" s="346">
        <f t="shared" si="48"/>
        <v>0</v>
      </c>
    </row>
    <row r="81" spans="2:28" x14ac:dyDescent="0.3">
      <c r="B81" s="448">
        <f t="shared" si="54"/>
        <v>14</v>
      </c>
      <c r="C81" s="450" t="s">
        <v>900</v>
      </c>
      <c r="D81" s="812">
        <f t="shared" ref="D81:F81" si="110">D27-D55</f>
        <v>0</v>
      </c>
      <c r="E81" s="812">
        <f t="shared" si="110"/>
        <v>0</v>
      </c>
      <c r="F81" s="812">
        <f t="shared" si="110"/>
        <v>0</v>
      </c>
      <c r="G81" s="812"/>
      <c r="H81" s="346">
        <f t="shared" si="40"/>
        <v>0</v>
      </c>
      <c r="I81" s="812">
        <f t="shared" ref="I81:K81" si="111">I27-I55</f>
        <v>0</v>
      </c>
      <c r="J81" s="812">
        <f t="shared" si="111"/>
        <v>0</v>
      </c>
      <c r="K81" s="812">
        <f t="shared" si="111"/>
        <v>0</v>
      </c>
      <c r="L81" s="812"/>
      <c r="M81" s="346">
        <f t="shared" si="42"/>
        <v>0</v>
      </c>
      <c r="N81" s="812">
        <f t="shared" ref="N81:P81" si="112">N27-N55</f>
        <v>0</v>
      </c>
      <c r="O81" s="812">
        <f t="shared" si="112"/>
        <v>0</v>
      </c>
      <c r="P81" s="812">
        <f t="shared" si="112"/>
        <v>0</v>
      </c>
      <c r="Q81" s="812"/>
      <c r="R81" s="346">
        <f t="shared" si="44"/>
        <v>0</v>
      </c>
      <c r="S81" s="812">
        <f t="shared" ref="S81:U81" si="113">S27-S55</f>
        <v>0</v>
      </c>
      <c r="T81" s="812">
        <f t="shared" si="113"/>
        <v>0</v>
      </c>
      <c r="U81" s="812">
        <f t="shared" si="113"/>
        <v>0</v>
      </c>
      <c r="V81" s="812"/>
      <c r="W81" s="346">
        <f t="shared" si="46"/>
        <v>0</v>
      </c>
      <c r="X81" s="812">
        <f t="shared" ref="X81:Z81" si="114">X27-X55</f>
        <v>0</v>
      </c>
      <c r="Y81" s="812">
        <f t="shared" si="114"/>
        <v>0</v>
      </c>
      <c r="Z81" s="812">
        <f t="shared" si="114"/>
        <v>0</v>
      </c>
      <c r="AA81" s="812"/>
      <c r="AB81" s="346">
        <f t="shared" si="48"/>
        <v>0</v>
      </c>
    </row>
    <row r="82" spans="2:28" x14ac:dyDescent="0.3">
      <c r="B82" s="448">
        <f t="shared" si="54"/>
        <v>15</v>
      </c>
      <c r="C82" s="450" t="s">
        <v>901</v>
      </c>
      <c r="D82" s="812">
        <f t="shared" ref="D82:F82" si="115">D28-D56</f>
        <v>0</v>
      </c>
      <c r="E82" s="812">
        <f t="shared" si="115"/>
        <v>0</v>
      </c>
      <c r="F82" s="812">
        <f t="shared" si="115"/>
        <v>0</v>
      </c>
      <c r="G82" s="812"/>
      <c r="H82" s="346">
        <f t="shared" si="40"/>
        <v>0</v>
      </c>
      <c r="I82" s="812">
        <f t="shared" ref="I82:K82" si="116">I28-I56</f>
        <v>0</v>
      </c>
      <c r="J82" s="812">
        <f t="shared" si="116"/>
        <v>0</v>
      </c>
      <c r="K82" s="812">
        <f t="shared" si="116"/>
        <v>0</v>
      </c>
      <c r="L82" s="812"/>
      <c r="M82" s="346">
        <f t="shared" si="42"/>
        <v>0</v>
      </c>
      <c r="N82" s="812">
        <f t="shared" ref="N82:P82" si="117">N28-N56</f>
        <v>0</v>
      </c>
      <c r="O82" s="812">
        <f t="shared" si="117"/>
        <v>0</v>
      </c>
      <c r="P82" s="812">
        <f t="shared" si="117"/>
        <v>0</v>
      </c>
      <c r="Q82" s="812"/>
      <c r="R82" s="346">
        <f t="shared" si="44"/>
        <v>0</v>
      </c>
      <c r="S82" s="812">
        <f t="shared" ref="S82:U82" si="118">S28-S56</f>
        <v>0</v>
      </c>
      <c r="T82" s="812">
        <f t="shared" si="118"/>
        <v>0</v>
      </c>
      <c r="U82" s="812">
        <f t="shared" si="118"/>
        <v>0</v>
      </c>
      <c r="V82" s="812"/>
      <c r="W82" s="346">
        <f t="shared" si="46"/>
        <v>0</v>
      </c>
      <c r="X82" s="812">
        <f t="shared" ref="X82:Z82" si="119">X28-X56</f>
        <v>0</v>
      </c>
      <c r="Y82" s="812">
        <f t="shared" si="119"/>
        <v>0</v>
      </c>
      <c r="Z82" s="812">
        <f t="shared" si="119"/>
        <v>0</v>
      </c>
      <c r="AA82" s="812"/>
      <c r="AB82" s="346">
        <f t="shared" si="48"/>
        <v>0</v>
      </c>
    </row>
    <row r="83" spans="2:28" x14ac:dyDescent="0.3">
      <c r="B83" s="448">
        <f t="shared" si="54"/>
        <v>16</v>
      </c>
      <c r="C83" s="450" t="s">
        <v>853</v>
      </c>
      <c r="D83" s="812">
        <f t="shared" ref="D83:F83" si="120">D29-D57</f>
        <v>0</v>
      </c>
      <c r="E83" s="812">
        <f t="shared" si="120"/>
        <v>0</v>
      </c>
      <c r="F83" s="812">
        <f t="shared" si="120"/>
        <v>0</v>
      </c>
      <c r="G83" s="812"/>
      <c r="H83" s="346">
        <f t="shared" si="40"/>
        <v>0</v>
      </c>
      <c r="I83" s="812">
        <f t="shared" ref="I83:K83" si="121">I29-I57</f>
        <v>0</v>
      </c>
      <c r="J83" s="812">
        <f t="shared" si="121"/>
        <v>0</v>
      </c>
      <c r="K83" s="812">
        <f t="shared" si="121"/>
        <v>0</v>
      </c>
      <c r="L83" s="812"/>
      <c r="M83" s="346">
        <f t="shared" si="42"/>
        <v>0</v>
      </c>
      <c r="N83" s="812">
        <f t="shared" ref="N83:P83" si="122">N29-N57</f>
        <v>0</v>
      </c>
      <c r="O83" s="812">
        <f t="shared" si="122"/>
        <v>0</v>
      </c>
      <c r="P83" s="812">
        <f t="shared" si="122"/>
        <v>0</v>
      </c>
      <c r="Q83" s="812"/>
      <c r="R83" s="346">
        <f t="shared" si="44"/>
        <v>0</v>
      </c>
      <c r="S83" s="812">
        <f t="shared" ref="S83:U83" si="123">S29-S57</f>
        <v>0</v>
      </c>
      <c r="T83" s="812">
        <f t="shared" si="123"/>
        <v>0</v>
      </c>
      <c r="U83" s="812">
        <f t="shared" si="123"/>
        <v>0</v>
      </c>
      <c r="V83" s="812"/>
      <c r="W83" s="346">
        <f t="shared" si="46"/>
        <v>0</v>
      </c>
      <c r="X83" s="812">
        <f t="shared" ref="X83:Z83" si="124">X29-X57</f>
        <v>0</v>
      </c>
      <c r="Y83" s="812">
        <f t="shared" si="124"/>
        <v>0</v>
      </c>
      <c r="Z83" s="812">
        <f t="shared" si="124"/>
        <v>0</v>
      </c>
      <c r="AA83" s="812"/>
      <c r="AB83" s="346">
        <f t="shared" si="48"/>
        <v>0</v>
      </c>
    </row>
    <row r="84" spans="2:28" x14ac:dyDescent="0.3">
      <c r="B84" s="448">
        <f t="shared" si="54"/>
        <v>17</v>
      </c>
      <c r="C84" s="450" t="s">
        <v>902</v>
      </c>
      <c r="D84" s="812">
        <f t="shared" ref="D84:F84" si="125">D30-D58</f>
        <v>0</v>
      </c>
      <c r="E84" s="812">
        <f t="shared" si="125"/>
        <v>0</v>
      </c>
      <c r="F84" s="812">
        <f t="shared" si="125"/>
        <v>0</v>
      </c>
      <c r="G84" s="812"/>
      <c r="H84" s="346">
        <f t="shared" si="40"/>
        <v>0</v>
      </c>
      <c r="I84" s="812">
        <f t="shared" ref="I84:K84" si="126">I30-I58</f>
        <v>0</v>
      </c>
      <c r="J84" s="812">
        <f t="shared" si="126"/>
        <v>0</v>
      </c>
      <c r="K84" s="812">
        <f t="shared" si="126"/>
        <v>0</v>
      </c>
      <c r="L84" s="812"/>
      <c r="M84" s="346">
        <f t="shared" si="42"/>
        <v>0</v>
      </c>
      <c r="N84" s="812">
        <f t="shared" ref="N84:P84" si="127">N30-N58</f>
        <v>0</v>
      </c>
      <c r="O84" s="812">
        <f t="shared" si="127"/>
        <v>0</v>
      </c>
      <c r="P84" s="812">
        <f t="shared" si="127"/>
        <v>0</v>
      </c>
      <c r="Q84" s="812"/>
      <c r="R84" s="346">
        <f t="shared" si="44"/>
        <v>0</v>
      </c>
      <c r="S84" s="812">
        <f t="shared" ref="S84:U84" si="128">S30-S58</f>
        <v>0</v>
      </c>
      <c r="T84" s="812">
        <f t="shared" si="128"/>
        <v>0</v>
      </c>
      <c r="U84" s="812">
        <f t="shared" si="128"/>
        <v>0</v>
      </c>
      <c r="V84" s="812"/>
      <c r="W84" s="346">
        <f t="shared" si="46"/>
        <v>0</v>
      </c>
      <c r="X84" s="812">
        <f t="shared" ref="X84:Z84" si="129">X30-X58</f>
        <v>0</v>
      </c>
      <c r="Y84" s="812">
        <f t="shared" si="129"/>
        <v>0</v>
      </c>
      <c r="Z84" s="812">
        <f t="shared" si="129"/>
        <v>0</v>
      </c>
      <c r="AA84" s="812"/>
      <c r="AB84" s="346">
        <f t="shared" si="48"/>
        <v>0</v>
      </c>
    </row>
    <row r="85" spans="2:28" ht="16" x14ac:dyDescent="0.3">
      <c r="B85" s="78"/>
      <c r="C85" s="92" t="s">
        <v>271</v>
      </c>
      <c r="D85" s="92">
        <f>SUM(D68:D84)</f>
        <v>0</v>
      </c>
      <c r="E85" s="92">
        <f t="shared" ref="E85:AB85" si="130">SUM(E68:E84)</f>
        <v>0</v>
      </c>
      <c r="F85" s="92">
        <f t="shared" si="130"/>
        <v>0</v>
      </c>
      <c r="G85" s="92">
        <f t="shared" si="130"/>
        <v>0</v>
      </c>
      <c r="H85" s="92">
        <f t="shared" si="130"/>
        <v>0</v>
      </c>
      <c r="I85" s="92">
        <f t="shared" si="130"/>
        <v>0</v>
      </c>
      <c r="J85" s="92">
        <f t="shared" si="130"/>
        <v>97.838350000000005</v>
      </c>
      <c r="K85" s="92">
        <f t="shared" si="130"/>
        <v>0</v>
      </c>
      <c r="L85" s="92">
        <f t="shared" si="130"/>
        <v>0</v>
      </c>
      <c r="M85" s="92">
        <f t="shared" si="130"/>
        <v>97.838350000000005</v>
      </c>
      <c r="N85" s="92">
        <f t="shared" si="130"/>
        <v>97.838350000000005</v>
      </c>
      <c r="O85" s="92">
        <f t="shared" si="130"/>
        <v>-3.3232999999999997</v>
      </c>
      <c r="P85" s="92">
        <f t="shared" si="130"/>
        <v>0</v>
      </c>
      <c r="Q85" s="92">
        <f t="shared" si="130"/>
        <v>0</v>
      </c>
      <c r="R85" s="92">
        <f t="shared" si="130"/>
        <v>94.515050000000002</v>
      </c>
      <c r="S85" s="92">
        <f t="shared" si="130"/>
        <v>94.515050000000002</v>
      </c>
      <c r="T85" s="92">
        <f t="shared" si="130"/>
        <v>-3.3232999999999997</v>
      </c>
      <c r="U85" s="92">
        <f t="shared" si="130"/>
        <v>0</v>
      </c>
      <c r="V85" s="92">
        <f t="shared" si="130"/>
        <v>0</v>
      </c>
      <c r="W85" s="92">
        <f t="shared" si="130"/>
        <v>91.191749999999999</v>
      </c>
      <c r="X85" s="92">
        <f t="shared" si="130"/>
        <v>91.191749999999999</v>
      </c>
      <c r="Y85" s="92">
        <f t="shared" si="130"/>
        <v>-3.3232999999999997</v>
      </c>
      <c r="Z85" s="92">
        <f t="shared" si="130"/>
        <v>0</v>
      </c>
      <c r="AA85" s="92">
        <f t="shared" si="130"/>
        <v>0</v>
      </c>
      <c r="AB85" s="92">
        <f t="shared" si="130"/>
        <v>87.868449999999996</v>
      </c>
    </row>
    <row r="86" spans="2:28" x14ac:dyDescent="0.3">
      <c r="B86" s="264"/>
      <c r="C86" s="817"/>
      <c r="D86" s="817"/>
      <c r="E86" s="817"/>
      <c r="F86" s="817"/>
      <c r="G86" s="817"/>
      <c r="H86" s="817"/>
      <c r="I86" s="817"/>
      <c r="J86" s="817"/>
      <c r="K86" s="817"/>
    </row>
  </sheetData>
  <mergeCells count="36">
    <mergeCell ref="B10:B12"/>
    <mergeCell ref="C10:C12"/>
    <mergeCell ref="D10:H10"/>
    <mergeCell ref="I10:M10"/>
    <mergeCell ref="N10:R10"/>
    <mergeCell ref="X10:AB10"/>
    <mergeCell ref="D11:H11"/>
    <mergeCell ref="I11:M11"/>
    <mergeCell ref="N11:R11"/>
    <mergeCell ref="S11:W11"/>
    <mergeCell ref="X11:AB11"/>
    <mergeCell ref="S10:W10"/>
    <mergeCell ref="B38:B40"/>
    <mergeCell ref="C38:C40"/>
    <mergeCell ref="D38:H38"/>
    <mergeCell ref="I38:M38"/>
    <mergeCell ref="N38:R38"/>
    <mergeCell ref="X38:AB38"/>
    <mergeCell ref="D39:H39"/>
    <mergeCell ref="I39:M39"/>
    <mergeCell ref="N39:R39"/>
    <mergeCell ref="S39:W39"/>
    <mergeCell ref="X39:AB39"/>
    <mergeCell ref="S38:W38"/>
    <mergeCell ref="B64:B66"/>
    <mergeCell ref="C64:C66"/>
    <mergeCell ref="D64:H64"/>
    <mergeCell ref="I64:M64"/>
    <mergeCell ref="N64:R64"/>
    <mergeCell ref="X64:AB64"/>
    <mergeCell ref="D65:H65"/>
    <mergeCell ref="I65:M65"/>
    <mergeCell ref="N65:R65"/>
    <mergeCell ref="S65:W65"/>
    <mergeCell ref="X65:AB65"/>
    <mergeCell ref="S64:W64"/>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32" max="29" man="1"/>
    <brk id="61" max="29" man="1"/>
  </rowBreaks>
  <colBreaks count="1" manualBreakCount="1">
    <brk id="23"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B1:V325"/>
  <sheetViews>
    <sheetView showGridLines="0" view="pageBreakPreview" zoomScale="56" zoomScaleNormal="75" zoomScaleSheetLayoutView="70" workbookViewId="0">
      <pane xSplit="3" ySplit="12" topLeftCell="D13" activePane="bottomRight" state="frozen"/>
      <selection pane="topRight" activeCell="D1" sqref="D1"/>
      <selection pane="bottomLeft" activeCell="A13" sqref="A13"/>
      <selection pane="bottomRight" activeCell="E23" sqref="E23"/>
    </sheetView>
  </sheetViews>
  <sheetFormatPr defaultColWidth="9.36328125" defaultRowHeight="14" x14ac:dyDescent="0.25"/>
  <cols>
    <col min="1" max="1" width="6.6328125" style="14" customWidth="1"/>
    <col min="2" max="2" width="7" style="565" customWidth="1"/>
    <col min="3" max="3" width="41.81640625" style="412" customWidth="1"/>
    <col min="4" max="4" width="16.453125" style="412" customWidth="1"/>
    <col min="5" max="5" width="35.453125" style="412" customWidth="1"/>
    <col min="6" max="6" width="21.36328125" style="412" customWidth="1"/>
    <col min="7" max="7" width="22.36328125" style="412" customWidth="1"/>
    <col min="8" max="9" width="20.6328125" style="412" customWidth="1"/>
    <col min="10" max="10" width="18.6328125" style="14" customWidth="1"/>
    <col min="11" max="11" width="18.6328125" style="59" customWidth="1"/>
    <col min="12" max="12" width="18.6328125" style="14" customWidth="1"/>
    <col min="13" max="16" width="16.54296875" style="14" customWidth="1"/>
    <col min="17" max="19" width="18.6328125" style="14" customWidth="1"/>
    <col min="20" max="16384" width="9.36328125" style="14"/>
  </cols>
  <sheetData>
    <row r="1" spans="2:18" x14ac:dyDescent="0.25">
      <c r="C1" s="14"/>
      <c r="D1" s="14"/>
      <c r="E1" s="14"/>
      <c r="F1" s="14"/>
      <c r="G1" s="14"/>
      <c r="H1" s="14"/>
      <c r="I1" s="14"/>
    </row>
    <row r="2" spans="2:18" x14ac:dyDescent="0.25">
      <c r="C2" s="15" t="str">
        <f>Index!B2</f>
        <v xml:space="preserve">      Maharashtra State Power Generation Company Ltd.</v>
      </c>
      <c r="D2" s="15"/>
      <c r="E2" s="15"/>
      <c r="F2" s="15"/>
      <c r="G2" s="15"/>
      <c r="H2" s="16"/>
      <c r="I2" s="16"/>
      <c r="J2" s="16"/>
      <c r="K2" s="333"/>
      <c r="L2" s="16"/>
      <c r="M2" s="16"/>
      <c r="N2" s="16"/>
      <c r="O2" s="16"/>
      <c r="P2" s="16"/>
    </row>
    <row r="3" spans="2:18" s="5" customFormat="1" x14ac:dyDescent="0.3">
      <c r="B3" s="566"/>
      <c r="C3" s="15" t="str">
        <f>Index!B3</f>
        <v>MYT Petition Formats for Bhusawal Unit 3</v>
      </c>
      <c r="D3" s="17"/>
      <c r="E3" s="17"/>
      <c r="F3" s="17"/>
      <c r="G3" s="17"/>
      <c r="H3" s="18"/>
      <c r="I3" s="18"/>
      <c r="J3" s="18"/>
      <c r="K3" s="61"/>
      <c r="L3" s="18"/>
      <c r="M3" s="18"/>
      <c r="N3" s="18"/>
      <c r="O3" s="18"/>
      <c r="P3" s="18"/>
    </row>
    <row r="4" spans="2:18" s="5" customFormat="1" x14ac:dyDescent="0.3">
      <c r="B4" s="566"/>
      <c r="C4" s="19" t="s">
        <v>53</v>
      </c>
      <c r="D4" s="19"/>
      <c r="E4" s="19"/>
      <c r="F4" s="19"/>
      <c r="G4" s="19"/>
      <c r="H4" s="18"/>
      <c r="I4" s="18"/>
      <c r="J4" s="20"/>
      <c r="K4" s="61"/>
      <c r="L4" s="18"/>
      <c r="M4" s="18"/>
      <c r="N4" s="18"/>
      <c r="O4" s="18"/>
      <c r="P4" s="18"/>
    </row>
    <row r="5" spans="2:18" s="5" customFormat="1" x14ac:dyDescent="0.3">
      <c r="B5" s="566"/>
      <c r="C5" s="19"/>
      <c r="D5" s="19"/>
      <c r="E5" s="19"/>
      <c r="F5" s="19"/>
      <c r="G5" s="19"/>
      <c r="H5" s="18"/>
      <c r="I5" s="18"/>
      <c r="J5" s="20"/>
      <c r="K5" s="61"/>
      <c r="L5" s="18"/>
      <c r="M5" s="18"/>
      <c r="N5" s="18"/>
      <c r="O5" s="18"/>
      <c r="P5" s="18"/>
    </row>
    <row r="6" spans="2:18" s="5" customFormat="1" x14ac:dyDescent="0.3">
      <c r="B6" s="566"/>
      <c r="C6" s="19"/>
      <c r="D6" s="19"/>
      <c r="E6" s="19"/>
      <c r="F6" s="19"/>
      <c r="G6" s="19"/>
      <c r="H6" s="18"/>
      <c r="I6" s="18"/>
      <c r="J6" s="20"/>
      <c r="K6" s="61"/>
      <c r="L6" s="18"/>
      <c r="M6" s="18"/>
      <c r="N6" s="18"/>
      <c r="O6" s="18"/>
      <c r="P6" s="18"/>
    </row>
    <row r="7" spans="2:18" s="5" customFormat="1" x14ac:dyDescent="0.3">
      <c r="B7" s="566"/>
      <c r="C7" s="19"/>
      <c r="D7" s="19"/>
      <c r="E7" s="19"/>
      <c r="F7" s="19"/>
      <c r="G7" s="19"/>
      <c r="H7" s="18"/>
      <c r="I7" s="18"/>
      <c r="J7" s="20"/>
      <c r="K7" s="61"/>
      <c r="L7" s="18"/>
      <c r="M7" s="18"/>
      <c r="N7" s="18"/>
      <c r="O7" s="18"/>
      <c r="P7" s="18"/>
    </row>
    <row r="8" spans="2:18" s="5" customFormat="1" ht="17.5" x14ac:dyDescent="0.3">
      <c r="B8" s="566"/>
      <c r="C8" s="96" t="s">
        <v>403</v>
      </c>
      <c r="D8" s="96"/>
      <c r="E8" s="96"/>
      <c r="F8" s="96"/>
      <c r="G8" s="96"/>
      <c r="H8" s="18"/>
      <c r="I8" s="18"/>
      <c r="J8" s="20"/>
      <c r="K8" s="61"/>
      <c r="L8" s="18"/>
      <c r="M8" s="18"/>
      <c r="N8" s="18"/>
      <c r="O8" s="18"/>
      <c r="P8" s="18"/>
    </row>
    <row r="9" spans="2:18" s="5" customFormat="1" x14ac:dyDescent="0.3">
      <c r="B9" s="566"/>
      <c r="C9" s="19"/>
      <c r="D9" s="67"/>
      <c r="E9" s="67"/>
      <c r="F9" s="67"/>
      <c r="G9" s="67"/>
      <c r="H9" s="46"/>
      <c r="I9" s="46"/>
      <c r="J9" s="296"/>
      <c r="K9" s="334"/>
      <c r="L9" s="46"/>
      <c r="N9" s="46"/>
      <c r="O9" s="46"/>
      <c r="P9" s="46"/>
      <c r="Q9" s="284" t="s">
        <v>10</v>
      </c>
    </row>
    <row r="10" spans="2:18" ht="26" customHeight="1" x14ac:dyDescent="0.25">
      <c r="B10" s="1773" t="s">
        <v>343</v>
      </c>
      <c r="C10" s="1593" t="s">
        <v>27</v>
      </c>
      <c r="D10" s="1740" t="s">
        <v>505</v>
      </c>
      <c r="E10" s="1741"/>
      <c r="F10" s="1742"/>
      <c r="G10" s="1740" t="s">
        <v>506</v>
      </c>
      <c r="H10" s="1741"/>
      <c r="I10" s="1742"/>
      <c r="J10" s="1740" t="s">
        <v>507</v>
      </c>
      <c r="K10" s="1741"/>
      <c r="L10" s="1742"/>
      <c r="M10" s="1630" t="s">
        <v>1066</v>
      </c>
      <c r="N10" s="1630"/>
      <c r="O10" s="1630"/>
      <c r="P10" s="1630"/>
      <c r="Q10" s="1630"/>
      <c r="R10" s="1609" t="s">
        <v>28</v>
      </c>
    </row>
    <row r="11" spans="2:18" ht="49.5" customHeight="1" x14ac:dyDescent="0.25">
      <c r="B11" s="1773"/>
      <c r="C11" s="1593"/>
      <c r="D11" s="295" t="s">
        <v>1065</v>
      </c>
      <c r="E11" s="291" t="s">
        <v>80</v>
      </c>
      <c r="F11" s="291" t="s">
        <v>449</v>
      </c>
      <c r="G11" s="295" t="s">
        <v>1065</v>
      </c>
      <c r="H11" s="291" t="s">
        <v>80</v>
      </c>
      <c r="I11" s="291" t="s">
        <v>449</v>
      </c>
      <c r="J11" s="291" t="s">
        <v>1065</v>
      </c>
      <c r="K11" s="332" t="s">
        <v>81</v>
      </c>
      <c r="L11" s="291" t="s">
        <v>450</v>
      </c>
      <c r="M11" s="646" t="s">
        <v>1067</v>
      </c>
      <c r="N11" s="646" t="s">
        <v>1068</v>
      </c>
      <c r="O11" s="646" t="s">
        <v>1069</v>
      </c>
      <c r="P11" s="646" t="s">
        <v>1070</v>
      </c>
      <c r="Q11" s="646" t="s">
        <v>1071</v>
      </c>
      <c r="R11" s="1609"/>
    </row>
    <row r="12" spans="2:18" ht="26" customHeight="1" x14ac:dyDescent="0.25">
      <c r="B12" s="567"/>
      <c r="C12" s="202"/>
      <c r="D12" s="291" t="s">
        <v>82</v>
      </c>
      <c r="E12" s="291" t="s">
        <v>83</v>
      </c>
      <c r="F12" s="291" t="s">
        <v>675</v>
      </c>
      <c r="G12" s="291" t="s">
        <v>391</v>
      </c>
      <c r="H12" s="291" t="s">
        <v>409</v>
      </c>
      <c r="I12" s="291" t="s">
        <v>454</v>
      </c>
      <c r="J12" s="291" t="s">
        <v>410</v>
      </c>
      <c r="K12" s="332" t="s">
        <v>411</v>
      </c>
      <c r="L12" s="291" t="s">
        <v>509</v>
      </c>
      <c r="M12" s="638" t="s">
        <v>21</v>
      </c>
      <c r="N12" s="638" t="s">
        <v>21</v>
      </c>
      <c r="O12" s="638" t="s">
        <v>21</v>
      </c>
      <c r="P12" s="638" t="s">
        <v>21</v>
      </c>
      <c r="Q12" s="638" t="s">
        <v>21</v>
      </c>
      <c r="R12" s="1610"/>
    </row>
    <row r="13" spans="2:18" x14ac:dyDescent="0.3">
      <c r="B13" s="568">
        <v>1</v>
      </c>
      <c r="C13" s="26" t="s">
        <v>397</v>
      </c>
      <c r="D13" s="349"/>
      <c r="E13" s="314"/>
      <c r="F13" s="314">
        <f t="shared" ref="F13:F18" si="0">E13-D13</f>
        <v>0</v>
      </c>
      <c r="G13" s="314"/>
      <c r="H13" s="302"/>
      <c r="I13" s="314">
        <f>H13-G13</f>
        <v>0</v>
      </c>
      <c r="J13" s="302"/>
      <c r="K13" s="315"/>
      <c r="L13" s="302">
        <f>K13-J13</f>
        <v>0</v>
      </c>
      <c r="M13" s="302"/>
      <c r="N13" s="303"/>
      <c r="O13" s="303"/>
      <c r="P13" s="303"/>
      <c r="Q13" s="303"/>
      <c r="R13" s="24"/>
    </row>
    <row r="14" spans="2:18" x14ac:dyDescent="0.3">
      <c r="B14" s="568">
        <f>B13+1</f>
        <v>2</v>
      </c>
      <c r="C14" s="26" t="s">
        <v>398</v>
      </c>
      <c r="D14" s="349"/>
      <c r="E14" s="314"/>
      <c r="F14" s="314">
        <f t="shared" si="0"/>
        <v>0</v>
      </c>
      <c r="G14" s="314"/>
      <c r="H14" s="302"/>
      <c r="I14" s="314">
        <f t="shared" ref="I14:I24" si="1">H14-G14</f>
        <v>0</v>
      </c>
      <c r="J14" s="302"/>
      <c r="K14" s="315"/>
      <c r="L14" s="302">
        <f t="shared" ref="L14:L24" si="2">K14-J14</f>
        <v>0</v>
      </c>
      <c r="M14" s="302"/>
      <c r="N14" s="303"/>
      <c r="O14" s="303"/>
      <c r="P14" s="303"/>
      <c r="Q14" s="303"/>
      <c r="R14" s="24"/>
    </row>
    <row r="15" spans="2:18" s="311" customFormat="1" x14ac:dyDescent="0.3">
      <c r="B15" s="569">
        <f t="shared" ref="B15:B20" si="3">B14+1</f>
        <v>3</v>
      </c>
      <c r="C15" s="649" t="s">
        <v>399</v>
      </c>
      <c r="D15" s="751">
        <v>0</v>
      </c>
      <c r="E15" s="650">
        <f>D15</f>
        <v>0</v>
      </c>
      <c r="F15" s="650">
        <f t="shared" si="0"/>
        <v>0</v>
      </c>
      <c r="G15" s="650">
        <f>D19</f>
        <v>0</v>
      </c>
      <c r="H15" s="650">
        <f>E19</f>
        <v>0</v>
      </c>
      <c r="I15" s="650">
        <f t="shared" si="1"/>
        <v>0</v>
      </c>
      <c r="J15" s="651">
        <f>G19</f>
        <v>0</v>
      </c>
      <c r="K15" s="650">
        <f>H19</f>
        <v>0</v>
      </c>
      <c r="L15" s="651">
        <f t="shared" si="2"/>
        <v>0</v>
      </c>
      <c r="M15" s="650">
        <f>K19</f>
        <v>0</v>
      </c>
      <c r="N15" s="650">
        <f>M19</f>
        <v>0</v>
      </c>
      <c r="O15" s="650">
        <f>N19</f>
        <v>62.267510773332425</v>
      </c>
      <c r="P15" s="650">
        <f>O19</f>
        <v>53.223371546664858</v>
      </c>
      <c r="Q15" s="650">
        <f>P19</f>
        <v>44.179232319997297</v>
      </c>
      <c r="R15" s="114"/>
    </row>
    <row r="16" spans="2:18" s="311" customFormat="1" x14ac:dyDescent="0.3">
      <c r="B16" s="569">
        <f t="shared" si="3"/>
        <v>4</v>
      </c>
      <c r="C16" s="54" t="s">
        <v>400</v>
      </c>
      <c r="D16" s="349"/>
      <c r="E16" s="349">
        <f>'F5'!$F$31*E15/'F5'!D31</f>
        <v>0</v>
      </c>
      <c r="F16" s="349">
        <f t="shared" si="0"/>
        <v>0</v>
      </c>
      <c r="G16" s="349"/>
      <c r="H16" s="315">
        <f>'F5'!$K$31*H15/'F5'!I31</f>
        <v>0</v>
      </c>
      <c r="I16" s="349">
        <f t="shared" si="1"/>
        <v>0</v>
      </c>
      <c r="J16" s="315"/>
      <c r="K16" s="315">
        <f>'F5'!$P$31*K15/'F5'!N31</f>
        <v>0</v>
      </c>
      <c r="L16" s="315">
        <f t="shared" si="2"/>
        <v>0</v>
      </c>
      <c r="M16" s="315"/>
      <c r="N16" s="315"/>
      <c r="O16" s="315"/>
      <c r="P16" s="315"/>
      <c r="Q16" s="315"/>
      <c r="R16" s="114"/>
    </row>
    <row r="17" spans="2:22" s="311" customFormat="1" x14ac:dyDescent="0.3">
      <c r="B17" s="569">
        <f t="shared" si="3"/>
        <v>5</v>
      </c>
      <c r="C17" s="54" t="s">
        <v>464</v>
      </c>
      <c r="D17" s="349">
        <f>'F4'!D14*70%</f>
        <v>0</v>
      </c>
      <c r="E17" s="349">
        <f>'F4'!E14*70%</f>
        <v>0.18365410560000001</v>
      </c>
      <c r="F17" s="349">
        <f t="shared" si="0"/>
        <v>0.18365410560000001</v>
      </c>
      <c r="G17" s="349">
        <f>'F4'!G14*70%</f>
        <v>3.8779999999999997</v>
      </c>
      <c r="H17" s="315">
        <f>'F4'!H14*70%</f>
        <v>0.28555039519999997</v>
      </c>
      <c r="I17" s="349">
        <f t="shared" si="1"/>
        <v>-3.5924496047999996</v>
      </c>
      <c r="J17" s="349">
        <f>'F4'!J14*70%</f>
        <v>0</v>
      </c>
      <c r="K17" s="315">
        <f>'F4'!M14*70%</f>
        <v>3.9377469599999997</v>
      </c>
      <c r="L17" s="315">
        <f t="shared" si="2"/>
        <v>3.9377469599999997</v>
      </c>
      <c r="M17" s="315">
        <f>'F4'!O14*70%</f>
        <v>0</v>
      </c>
      <c r="N17" s="315">
        <f>'F4'!P14*70%</f>
        <v>69.649999999999991</v>
      </c>
      <c r="O17" s="315">
        <f>'F4'!Q14*70%</f>
        <v>0</v>
      </c>
      <c r="P17" s="315">
        <f>'F4'!R14*70%</f>
        <v>0</v>
      </c>
      <c r="Q17" s="315">
        <f>'F4'!S14*70%</f>
        <v>0</v>
      </c>
      <c r="R17" s="114"/>
    </row>
    <row r="18" spans="2:22" s="311" customFormat="1" x14ac:dyDescent="0.3">
      <c r="B18" s="569">
        <f t="shared" si="3"/>
        <v>6</v>
      </c>
      <c r="C18" s="54" t="s">
        <v>407</v>
      </c>
      <c r="D18" s="349">
        <f>'F4'!D15*70%</f>
        <v>0</v>
      </c>
      <c r="E18" s="349">
        <f>IF((E15-E16+E17)&lt;'F5'!$E$85,(E15-E16+E17),'F5'!$E$85)</f>
        <v>0.18365410560000001</v>
      </c>
      <c r="F18" s="349">
        <f t="shared" si="0"/>
        <v>0.18365410560000001</v>
      </c>
      <c r="G18" s="349">
        <f>MIN(G17+G15,U18)</f>
        <v>3.8779999999999997</v>
      </c>
      <c r="H18" s="349">
        <f>IF((H15-H16+H17)&lt;'F5'!$J$85,(H15-H16+H17),'F5'!$J$85)</f>
        <v>0.28555039519999997</v>
      </c>
      <c r="I18" s="349">
        <f t="shared" si="1"/>
        <v>-3.5924496047999996</v>
      </c>
      <c r="J18" s="349">
        <f>MIN(J17+J15,V18)</f>
        <v>0</v>
      </c>
      <c r="K18" s="349">
        <f>IF((K15-K16+K17)&lt;'F5'!$O$85,(K15-K16+K17),'F5'!$O$85)</f>
        <v>3.9377469599999997</v>
      </c>
      <c r="L18" s="315">
        <f t="shared" si="2"/>
        <v>3.9377469599999997</v>
      </c>
      <c r="M18" s="349">
        <f>IF((M15-M16+M17)&lt;'F5 (T)'!T85,(M15-M16+M17),'F5 (T)'!T85)</f>
        <v>0</v>
      </c>
      <c r="N18" s="349">
        <f>IF((N15-N16+N17)&lt;'F5 (T)'!E112,(N15-N16+N17),'F5 (T)'!E112)</f>
        <v>7.3824892266675661</v>
      </c>
      <c r="O18" s="349">
        <f>IF((O15-O16+O17)&lt;'F5 (T)'!J112,(O15-O16+O17),'F5 (T)'!J112)</f>
        <v>9.044139226667566</v>
      </c>
      <c r="P18" s="349">
        <f>IF((P15-P16+P17)&lt;'F5 (T)'!O112,(P15-P16+P17),'F5 (T)'!O112)</f>
        <v>9.0441392266675571</v>
      </c>
      <c r="Q18" s="349">
        <f>IF((Q15-Q16+Q17)&lt;'F5 (T)'!T112,(Q15-Q16+Q17),'F5 (T)'!T112)</f>
        <v>9.0441392266675358</v>
      </c>
      <c r="R18" s="114"/>
      <c r="U18" s="774">
        <v>18.943083996966397</v>
      </c>
      <c r="V18" s="774">
        <v>21.541575948534376</v>
      </c>
    </row>
    <row r="19" spans="2:22" s="311" customFormat="1" x14ac:dyDescent="0.3">
      <c r="B19" s="569">
        <f t="shared" si="3"/>
        <v>7</v>
      </c>
      <c r="C19" s="649" t="s">
        <v>401</v>
      </c>
      <c r="D19" s="650">
        <f>D15-D16+D17-D18</f>
        <v>0</v>
      </c>
      <c r="E19" s="650">
        <f>E15-E16+E17-E18</f>
        <v>0</v>
      </c>
      <c r="F19" s="650">
        <f t="shared" ref="F19:F24" si="4">E19-D19</f>
        <v>0</v>
      </c>
      <c r="G19" s="650">
        <f>G15-G16+G17-G18</f>
        <v>0</v>
      </c>
      <c r="H19" s="650">
        <f>H15-H16+H17-H18</f>
        <v>0</v>
      </c>
      <c r="I19" s="650">
        <f t="shared" si="1"/>
        <v>0</v>
      </c>
      <c r="J19" s="650">
        <f>J15-J16+J17-J18</f>
        <v>0</v>
      </c>
      <c r="K19" s="650">
        <f>K15-K16+K17-K18</f>
        <v>0</v>
      </c>
      <c r="L19" s="651">
        <f t="shared" si="2"/>
        <v>0</v>
      </c>
      <c r="M19" s="650">
        <f>M15-M16+M17-M18</f>
        <v>0</v>
      </c>
      <c r="N19" s="650">
        <f t="shared" ref="N19:Q19" si="5">N15-N16+N17-N18</f>
        <v>62.267510773332425</v>
      </c>
      <c r="O19" s="650">
        <f t="shared" si="5"/>
        <v>53.223371546664858</v>
      </c>
      <c r="P19" s="650">
        <f t="shared" si="5"/>
        <v>44.179232319997297</v>
      </c>
      <c r="Q19" s="650">
        <f t="shared" si="5"/>
        <v>35.135093093329758</v>
      </c>
      <c r="R19" s="114"/>
    </row>
    <row r="20" spans="2:22" s="311" customFormat="1" x14ac:dyDescent="0.3">
      <c r="B20" s="569">
        <f t="shared" si="3"/>
        <v>8</v>
      </c>
      <c r="C20" s="54" t="s">
        <v>402</v>
      </c>
      <c r="D20" s="349"/>
      <c r="E20" s="349"/>
      <c r="F20" s="349">
        <f t="shared" si="4"/>
        <v>0</v>
      </c>
      <c r="G20" s="349"/>
      <c r="H20" s="315"/>
      <c r="I20" s="349">
        <f t="shared" si="1"/>
        <v>0</v>
      </c>
      <c r="J20" s="315"/>
      <c r="K20" s="315"/>
      <c r="L20" s="315">
        <f t="shared" si="2"/>
        <v>0</v>
      </c>
      <c r="M20" s="315"/>
      <c r="N20" s="315"/>
      <c r="O20" s="315"/>
      <c r="P20" s="315"/>
      <c r="Q20" s="315"/>
      <c r="R20" s="114"/>
    </row>
    <row r="21" spans="2:22" s="311" customFormat="1" x14ac:dyDescent="0.3">
      <c r="B21" s="569">
        <v>9</v>
      </c>
      <c r="C21" s="54" t="s">
        <v>468</v>
      </c>
      <c r="D21" s="349">
        <f>AVERAGE(D15,D19)</f>
        <v>0</v>
      </c>
      <c r="E21" s="349">
        <f>AVERAGE(E15,E19)</f>
        <v>0</v>
      </c>
      <c r="F21" s="349">
        <f t="shared" si="4"/>
        <v>0</v>
      </c>
      <c r="G21" s="349">
        <f>AVERAGE(G15,G19)</f>
        <v>0</v>
      </c>
      <c r="H21" s="349">
        <f>AVERAGE(H15,H19)</f>
        <v>0</v>
      </c>
      <c r="I21" s="349">
        <f t="shared" si="1"/>
        <v>0</v>
      </c>
      <c r="J21" s="349">
        <f>AVERAGE(J15,J19)</f>
        <v>0</v>
      </c>
      <c r="K21" s="349">
        <f>AVERAGE(K15,K19)</f>
        <v>0</v>
      </c>
      <c r="L21" s="349">
        <f t="shared" si="2"/>
        <v>0</v>
      </c>
      <c r="M21" s="349">
        <f>AVERAGE(M15,M19)</f>
        <v>0</v>
      </c>
      <c r="N21" s="349">
        <f t="shared" ref="N21:Q21" si="6">AVERAGE(N15,N19)</f>
        <v>31.133755386666213</v>
      </c>
      <c r="O21" s="349">
        <f t="shared" si="6"/>
        <v>57.745441159998641</v>
      </c>
      <c r="P21" s="349">
        <f t="shared" si="6"/>
        <v>48.701301933331081</v>
      </c>
      <c r="Q21" s="349">
        <f t="shared" si="6"/>
        <v>39.657162706663527</v>
      </c>
      <c r="R21" s="114"/>
    </row>
    <row r="22" spans="2:22" s="311" customFormat="1" ht="15.5" x14ac:dyDescent="0.35">
      <c r="B22" s="569">
        <v>10</v>
      </c>
      <c r="C22" s="54" t="s">
        <v>465</v>
      </c>
      <c r="D22" s="482"/>
      <c r="E22" s="482">
        <f>(E123+E269)/(E267+E121)</f>
        <v>0.10759792771825531</v>
      </c>
      <c r="F22" s="482">
        <f>E22-D22</f>
        <v>0.10759792771825531</v>
      </c>
      <c r="G22" s="775">
        <v>0.10678562227863277</v>
      </c>
      <c r="H22" s="356">
        <f>(H123+H269)/(H267+H121)</f>
        <v>0.10512330571479375</v>
      </c>
      <c r="I22" s="482">
        <f t="shared" si="1"/>
        <v>-1.6623165638390142E-3</v>
      </c>
      <c r="J22" s="777">
        <v>0.10678562227863277</v>
      </c>
      <c r="K22" s="356">
        <f>H22</f>
        <v>0.10512330571479375</v>
      </c>
      <c r="L22" s="315">
        <f t="shared" si="2"/>
        <v>-1.6623165638390142E-3</v>
      </c>
      <c r="M22" s="552">
        <f>$H22</f>
        <v>0.10512330571479375</v>
      </c>
      <c r="N22" s="552">
        <f t="shared" ref="N22:Q22" si="7">$H22</f>
        <v>0.10512330571479375</v>
      </c>
      <c r="O22" s="552">
        <f t="shared" si="7"/>
        <v>0.10512330571479375</v>
      </c>
      <c r="P22" s="552">
        <f t="shared" si="7"/>
        <v>0.10512330571479375</v>
      </c>
      <c r="Q22" s="552">
        <f t="shared" si="7"/>
        <v>0.10512330571479375</v>
      </c>
      <c r="R22" s="114"/>
    </row>
    <row r="23" spans="2:22" s="311" customFormat="1" ht="15.5" x14ac:dyDescent="0.35">
      <c r="B23" s="569">
        <v>11</v>
      </c>
      <c r="C23" s="649" t="s">
        <v>34</v>
      </c>
      <c r="D23" s="652">
        <f>D21*D22</f>
        <v>0</v>
      </c>
      <c r="E23" s="748">
        <f>E21*E22</f>
        <v>0</v>
      </c>
      <c r="F23" s="652">
        <f t="shared" si="4"/>
        <v>0</v>
      </c>
      <c r="G23" s="652">
        <f>G21*G22</f>
        <v>0</v>
      </c>
      <c r="H23" s="652">
        <f>H21*H22</f>
        <v>0</v>
      </c>
      <c r="I23" s="741">
        <f>H23-G23</f>
        <v>0</v>
      </c>
      <c r="J23" s="741">
        <f>J21*J22</f>
        <v>0</v>
      </c>
      <c r="K23" s="741">
        <f>K21*K22</f>
        <v>0</v>
      </c>
      <c r="L23" s="741">
        <f>K23-J23</f>
        <v>0</v>
      </c>
      <c r="M23" s="652">
        <f>M21*M22</f>
        <v>0</v>
      </c>
      <c r="N23" s="652">
        <f t="shared" ref="N23:Q23" si="8">N21*N22</f>
        <v>3.272883285562119</v>
      </c>
      <c r="O23" s="652">
        <f t="shared" si="8"/>
        <v>6.0703916646981719</v>
      </c>
      <c r="P23" s="652">
        <f t="shared" si="8"/>
        <v>5.1196418518460396</v>
      </c>
      <c r="Q23" s="652">
        <f t="shared" si="8"/>
        <v>4.1688920389939073</v>
      </c>
      <c r="R23" s="114"/>
    </row>
    <row r="24" spans="2:22" x14ac:dyDescent="0.3">
      <c r="B24" s="568">
        <v>12</v>
      </c>
      <c r="C24" s="26" t="s">
        <v>404</v>
      </c>
      <c r="D24" s="349">
        <v>0.28701044119787716</v>
      </c>
      <c r="E24" s="314">
        <v>0.4635893433978584</v>
      </c>
      <c r="F24" s="314">
        <f t="shared" si="4"/>
        <v>0.17657890219998124</v>
      </c>
      <c r="G24" s="776">
        <v>0.28701044119787716</v>
      </c>
      <c r="H24" s="314">
        <v>0.41308157912996457</v>
      </c>
      <c r="I24" s="314">
        <f t="shared" si="1"/>
        <v>0.12607113793208741</v>
      </c>
      <c r="J24" s="778">
        <v>0.28701044119787716</v>
      </c>
      <c r="K24" s="314">
        <v>0.41308157912996457</v>
      </c>
      <c r="L24" s="302">
        <f t="shared" si="2"/>
        <v>0.12607113793208741</v>
      </c>
      <c r="M24" s="302">
        <v>0.41308157912996457</v>
      </c>
      <c r="N24" s="302">
        <v>0.41308157912996457</v>
      </c>
      <c r="O24" s="302">
        <v>0.41308157912996457</v>
      </c>
      <c r="P24" s="302">
        <v>0.41308157912996457</v>
      </c>
      <c r="Q24" s="302">
        <v>0.41308157912996457</v>
      </c>
      <c r="R24" s="24"/>
    </row>
    <row r="25" spans="2:22" x14ac:dyDescent="0.3">
      <c r="B25" s="570">
        <v>13</v>
      </c>
      <c r="C25" s="25" t="s">
        <v>466</v>
      </c>
      <c r="D25" s="306">
        <f>SUM(D23:D24)</f>
        <v>0.28701044119787716</v>
      </c>
      <c r="E25" s="306">
        <f>SUM(E23:E24)</f>
        <v>0.4635893433978584</v>
      </c>
      <c r="F25" s="306">
        <f t="shared" ref="F25:M25" si="9">SUM(F23:F24)</f>
        <v>0.17657890219998124</v>
      </c>
      <c r="G25" s="306">
        <f t="shared" si="9"/>
        <v>0.28701044119787716</v>
      </c>
      <c r="H25" s="306">
        <f t="shared" si="9"/>
        <v>0.41308157912996457</v>
      </c>
      <c r="I25" s="306">
        <f t="shared" si="9"/>
        <v>0.12607113793208741</v>
      </c>
      <c r="J25" s="306">
        <f t="shared" si="9"/>
        <v>0.28701044119787716</v>
      </c>
      <c r="K25" s="306">
        <f>SUM(K23:K24)</f>
        <v>0.41308157912996457</v>
      </c>
      <c r="L25" s="306">
        <f t="shared" si="9"/>
        <v>0.12607113793208741</v>
      </c>
      <c r="M25" s="306">
        <f t="shared" si="9"/>
        <v>0.41308157912996457</v>
      </c>
      <c r="N25" s="306">
        <f t="shared" ref="N25:Q25" si="10">SUM(N23:N24)</f>
        <v>3.6859648646920835</v>
      </c>
      <c r="O25" s="306">
        <f t="shared" si="10"/>
        <v>6.4834732438281364</v>
      </c>
      <c r="P25" s="306">
        <f t="shared" si="10"/>
        <v>5.5327234309760041</v>
      </c>
      <c r="Q25" s="306">
        <f t="shared" si="10"/>
        <v>4.5819736181238717</v>
      </c>
      <c r="R25" s="24"/>
    </row>
    <row r="26" spans="2:22" s="5" customFormat="1" x14ac:dyDescent="0.3">
      <c r="B26" s="566"/>
      <c r="C26" s="19"/>
      <c r="D26" s="19"/>
      <c r="E26" s="19"/>
      <c r="F26" s="19"/>
      <c r="G26" s="19"/>
      <c r="H26" s="18"/>
      <c r="I26" s="18"/>
      <c r="J26" s="20"/>
      <c r="K26" s="61"/>
      <c r="L26" s="18"/>
      <c r="M26" s="18"/>
      <c r="N26" s="18"/>
      <c r="O26" s="18"/>
      <c r="P26" s="18"/>
    </row>
    <row r="27" spans="2:22" ht="17.5" x14ac:dyDescent="0.25">
      <c r="C27" s="96" t="s">
        <v>467</v>
      </c>
      <c r="D27" s="96"/>
      <c r="E27" s="96"/>
      <c r="F27" s="96"/>
      <c r="G27" s="96"/>
      <c r="H27" s="14"/>
      <c r="I27" s="14"/>
    </row>
    <row r="28" spans="2:22" x14ac:dyDescent="0.25">
      <c r="C28" s="14"/>
      <c r="D28" s="14"/>
      <c r="E28" s="14"/>
      <c r="F28" s="14"/>
      <c r="G28" s="14"/>
      <c r="H28" s="14"/>
      <c r="I28" s="14"/>
      <c r="O28" s="21"/>
      <c r="P28" s="21"/>
      <c r="Q28" s="21" t="s">
        <v>10</v>
      </c>
    </row>
    <row r="29" spans="2:22" ht="26" customHeight="1" x14ac:dyDescent="0.25">
      <c r="B29" s="1773" t="s">
        <v>343</v>
      </c>
      <c r="C29" s="1593" t="s">
        <v>27</v>
      </c>
      <c r="D29" s="1740" t="s">
        <v>505</v>
      </c>
      <c r="E29" s="1741"/>
      <c r="F29" s="1742"/>
      <c r="G29" s="1740" t="s">
        <v>506</v>
      </c>
      <c r="H29" s="1741"/>
      <c r="I29" s="1742"/>
      <c r="J29" s="1740" t="s">
        <v>507</v>
      </c>
      <c r="K29" s="1741"/>
      <c r="L29" s="1742"/>
      <c r="M29" s="1630" t="s">
        <v>1066</v>
      </c>
      <c r="N29" s="1630"/>
      <c r="O29" s="1630"/>
      <c r="P29" s="1630"/>
      <c r="Q29" s="1630"/>
      <c r="R29" s="1609" t="s">
        <v>28</v>
      </c>
    </row>
    <row r="30" spans="2:22" ht="31.5" customHeight="1" x14ac:dyDescent="0.25">
      <c r="B30" s="1773"/>
      <c r="C30" s="1593"/>
      <c r="D30" s="295" t="s">
        <v>448</v>
      </c>
      <c r="E30" s="291" t="s">
        <v>80</v>
      </c>
      <c r="F30" s="291" t="s">
        <v>449</v>
      </c>
      <c r="G30" s="295" t="s">
        <v>448</v>
      </c>
      <c r="H30" s="291" t="s">
        <v>80</v>
      </c>
      <c r="I30" s="291" t="s">
        <v>449</v>
      </c>
      <c r="J30" s="291" t="s">
        <v>448</v>
      </c>
      <c r="K30" s="332" t="s">
        <v>81</v>
      </c>
      <c r="L30" s="291" t="s">
        <v>450</v>
      </c>
      <c r="M30" s="734" t="s">
        <v>1067</v>
      </c>
      <c r="N30" s="734" t="s">
        <v>1068</v>
      </c>
      <c r="O30" s="734" t="s">
        <v>1069</v>
      </c>
      <c r="P30" s="734" t="s">
        <v>1070</v>
      </c>
      <c r="Q30" s="734" t="s">
        <v>1071</v>
      </c>
      <c r="R30" s="1609"/>
    </row>
    <row r="31" spans="2:22" x14ac:dyDescent="0.25">
      <c r="B31" s="571"/>
      <c r="C31" s="208"/>
      <c r="D31" s="291" t="s">
        <v>82</v>
      </c>
      <c r="E31" s="291" t="s">
        <v>83</v>
      </c>
      <c r="F31" s="291" t="s">
        <v>675</v>
      </c>
      <c r="G31" s="291" t="s">
        <v>391</v>
      </c>
      <c r="H31" s="291" t="s">
        <v>409</v>
      </c>
      <c r="I31" s="291" t="s">
        <v>454</v>
      </c>
      <c r="J31" s="735" t="s">
        <v>410</v>
      </c>
      <c r="K31" s="735" t="s">
        <v>411</v>
      </c>
      <c r="L31" s="735" t="s">
        <v>509</v>
      </c>
      <c r="M31" s="733" t="s">
        <v>21</v>
      </c>
      <c r="N31" s="733" t="s">
        <v>21</v>
      </c>
      <c r="O31" s="733" t="s">
        <v>21</v>
      </c>
      <c r="P31" s="733" t="s">
        <v>21</v>
      </c>
      <c r="Q31" s="733" t="s">
        <v>21</v>
      </c>
      <c r="R31" s="1610"/>
    </row>
    <row r="32" spans="2:22" x14ac:dyDescent="0.3">
      <c r="B32" s="570">
        <v>1</v>
      </c>
      <c r="C32" s="25" t="s">
        <v>1649</v>
      </c>
      <c r="D32" s="306"/>
      <c r="E32" s="792"/>
      <c r="F32" s="792"/>
      <c r="G32" s="792"/>
      <c r="H32" s="315"/>
      <c r="I32" s="302"/>
      <c r="J32" s="302"/>
      <c r="K32" s="315"/>
      <c r="L32" s="302"/>
      <c r="M32" s="302"/>
      <c r="N32" s="303"/>
      <c r="O32" s="303"/>
      <c r="P32" s="303"/>
      <c r="Q32" s="303"/>
      <c r="R32" s="395"/>
    </row>
    <row r="33" spans="2:18" ht="15" customHeight="1" x14ac:dyDescent="0.3">
      <c r="B33" s="568">
        <v>1.1000000000000001</v>
      </c>
      <c r="C33" s="26" t="s">
        <v>30</v>
      </c>
      <c r="D33" s="462"/>
      <c r="E33" s="462">
        <v>0</v>
      </c>
      <c r="F33" s="462">
        <f>E33-D33</f>
        <v>0</v>
      </c>
      <c r="G33" s="462"/>
      <c r="H33" s="462">
        <v>0</v>
      </c>
      <c r="I33" s="462">
        <f>H33-G33</f>
        <v>0</v>
      </c>
      <c r="J33" s="463"/>
      <c r="K33" s="462">
        <v>0</v>
      </c>
      <c r="L33" s="462">
        <f>K33-J33</f>
        <v>0</v>
      </c>
      <c r="M33" s="463"/>
      <c r="N33" s="463"/>
      <c r="O33" s="463"/>
      <c r="P33" s="463"/>
      <c r="Q33" s="463"/>
      <c r="R33" s="398"/>
    </row>
    <row r="34" spans="2:18" ht="29.4" customHeight="1" x14ac:dyDescent="0.3">
      <c r="B34" s="568">
        <f t="shared" ref="B34:B40" si="11">B33+0.1</f>
        <v>1.2000000000000002</v>
      </c>
      <c r="C34" s="29" t="s">
        <v>400</v>
      </c>
      <c r="D34" s="462"/>
      <c r="E34" s="462">
        <v>0</v>
      </c>
      <c r="F34" s="462">
        <f t="shared" ref="F34:F40" si="12">E34-D34</f>
        <v>0</v>
      </c>
      <c r="G34" s="462"/>
      <c r="H34" s="462">
        <v>0</v>
      </c>
      <c r="I34" s="462">
        <f t="shared" ref="I34:I40" si="13">H34-G34</f>
        <v>0</v>
      </c>
      <c r="J34" s="463"/>
      <c r="K34" s="462">
        <v>0</v>
      </c>
      <c r="L34" s="462">
        <f t="shared" ref="L34:L40" si="14">K34-J34</f>
        <v>0</v>
      </c>
      <c r="M34" s="463"/>
      <c r="N34" s="463"/>
      <c r="O34" s="463"/>
      <c r="P34" s="463"/>
      <c r="Q34" s="463"/>
      <c r="R34" s="398"/>
    </row>
    <row r="35" spans="2:18" ht="15" customHeight="1" x14ac:dyDescent="0.3">
      <c r="B35" s="568">
        <f t="shared" si="11"/>
        <v>1.3000000000000003</v>
      </c>
      <c r="C35" s="26" t="s">
        <v>342</v>
      </c>
      <c r="D35" s="462"/>
      <c r="E35" s="462">
        <v>0</v>
      </c>
      <c r="F35" s="462">
        <f t="shared" si="12"/>
        <v>0</v>
      </c>
      <c r="G35" s="462"/>
      <c r="H35" s="462">
        <v>0</v>
      </c>
      <c r="I35" s="462">
        <f t="shared" si="13"/>
        <v>0</v>
      </c>
      <c r="J35" s="463"/>
      <c r="K35" s="462">
        <v>0</v>
      </c>
      <c r="L35" s="462">
        <f t="shared" si="14"/>
        <v>0</v>
      </c>
      <c r="M35" s="463"/>
      <c r="N35" s="463"/>
      <c r="O35" s="463"/>
      <c r="P35" s="463"/>
      <c r="Q35" s="463"/>
      <c r="R35" s="398"/>
    </row>
    <row r="36" spans="2:18" ht="15" customHeight="1" x14ac:dyDescent="0.3">
      <c r="B36" s="568">
        <f t="shared" si="11"/>
        <v>1.4000000000000004</v>
      </c>
      <c r="C36" s="414" t="s">
        <v>31</v>
      </c>
      <c r="D36" s="462"/>
      <c r="E36" s="462">
        <v>0.13836775117370892</v>
      </c>
      <c r="F36" s="462">
        <f t="shared" si="12"/>
        <v>0.13836775117370892</v>
      </c>
      <c r="G36" s="462"/>
      <c r="H36" s="462">
        <v>0</v>
      </c>
      <c r="I36" s="462">
        <f t="shared" si="13"/>
        <v>0</v>
      </c>
      <c r="J36" s="463"/>
      <c r="K36" s="462">
        <v>0</v>
      </c>
      <c r="L36" s="462">
        <f t="shared" si="14"/>
        <v>0</v>
      </c>
      <c r="M36" s="463"/>
      <c r="N36" s="463"/>
      <c r="O36" s="463"/>
      <c r="P36" s="463"/>
      <c r="Q36" s="463"/>
      <c r="R36" s="398"/>
    </row>
    <row r="37" spans="2:18" ht="15" customHeight="1" x14ac:dyDescent="0.3">
      <c r="B37" s="568">
        <f t="shared" si="11"/>
        <v>1.5000000000000004</v>
      </c>
      <c r="C37" s="414" t="s">
        <v>32</v>
      </c>
      <c r="D37" s="462"/>
      <c r="E37" s="462">
        <f>+E33-E34+E35-E36</f>
        <v>-0.13836775117370892</v>
      </c>
      <c r="F37" s="462">
        <f t="shared" si="12"/>
        <v>-0.13836775117370892</v>
      </c>
      <c r="G37" s="462"/>
      <c r="H37" s="462">
        <f>+H33-H34+H35-H36</f>
        <v>0</v>
      </c>
      <c r="I37" s="462">
        <f t="shared" si="13"/>
        <v>0</v>
      </c>
      <c r="J37" s="463"/>
      <c r="K37" s="462">
        <f>+K33-K34+K35-K36</f>
        <v>0</v>
      </c>
      <c r="L37" s="462">
        <f t="shared" si="14"/>
        <v>0</v>
      </c>
      <c r="M37" s="463"/>
      <c r="N37" s="463">
        <f>+M33-M34+M35-M36</f>
        <v>0</v>
      </c>
      <c r="O37" s="463"/>
      <c r="P37" s="463"/>
      <c r="Q37" s="463">
        <f>+O33-O34+O35-O36</f>
        <v>0</v>
      </c>
      <c r="R37" s="398"/>
    </row>
    <row r="38" spans="2:18" ht="15" customHeight="1" x14ac:dyDescent="0.3">
      <c r="B38" s="568">
        <f t="shared" si="11"/>
        <v>1.6000000000000005</v>
      </c>
      <c r="C38" s="414" t="s">
        <v>469</v>
      </c>
      <c r="D38" s="462"/>
      <c r="E38" s="428">
        <f>AVERAGE(E33,E37)</f>
        <v>-6.918387558685446E-2</v>
      </c>
      <c r="F38" s="462">
        <f t="shared" si="12"/>
        <v>-6.918387558685446E-2</v>
      </c>
      <c r="G38" s="462"/>
      <c r="H38" s="428">
        <f>AVERAGE(H33,H37)</f>
        <v>0</v>
      </c>
      <c r="I38" s="462">
        <f t="shared" si="13"/>
        <v>0</v>
      </c>
      <c r="J38" s="463"/>
      <c r="K38" s="428">
        <f>AVERAGE(K33,K37)</f>
        <v>0</v>
      </c>
      <c r="L38" s="462">
        <f t="shared" si="14"/>
        <v>0</v>
      </c>
      <c r="M38" s="463"/>
      <c r="N38" s="463"/>
      <c r="O38" s="463"/>
      <c r="P38" s="463"/>
      <c r="Q38" s="463"/>
      <c r="R38" s="398"/>
    </row>
    <row r="39" spans="2:18" s="564" customFormat="1" ht="15" customHeight="1" x14ac:dyDescent="0.3">
      <c r="B39" s="572">
        <f t="shared" si="11"/>
        <v>1.7000000000000006</v>
      </c>
      <c r="C39" s="560" t="s">
        <v>33</v>
      </c>
      <c r="D39" s="561"/>
      <c r="E39" s="561">
        <f>IFERROR(E40/E38,0)</f>
        <v>-3.5270369350832824E-2</v>
      </c>
      <c r="F39" s="561">
        <f>F40/F38</f>
        <v>-3.5270369350832824E-2</v>
      </c>
      <c r="G39" s="561"/>
      <c r="H39" s="561">
        <f>IFERROR(H40/H38,0)</f>
        <v>0</v>
      </c>
      <c r="I39" s="561" t="e">
        <f>I40/I38</f>
        <v>#DIV/0!</v>
      </c>
      <c r="J39" s="562"/>
      <c r="K39" s="561">
        <f>IFERROR(K40/K38,0)</f>
        <v>0</v>
      </c>
      <c r="L39" s="561" t="e">
        <f>L40/L38</f>
        <v>#DIV/0!</v>
      </c>
      <c r="M39" s="562"/>
      <c r="N39" s="562" t="e">
        <f>M40/N38</f>
        <v>#DIV/0!</v>
      </c>
      <c r="O39" s="562"/>
      <c r="P39" s="562"/>
      <c r="Q39" s="562" t="e">
        <f>O40/Q38</f>
        <v>#DIV/0!</v>
      </c>
      <c r="R39" s="563"/>
    </row>
    <row r="40" spans="2:18" ht="15" customHeight="1" x14ac:dyDescent="0.3">
      <c r="B40" s="568">
        <f t="shared" si="11"/>
        <v>1.8000000000000007</v>
      </c>
      <c r="C40" s="414" t="s">
        <v>34</v>
      </c>
      <c r="D40" s="462"/>
      <c r="E40" s="462">
        <v>2.4401408450704229E-3</v>
      </c>
      <c r="F40" s="462">
        <f t="shared" si="12"/>
        <v>2.4401408450704229E-3</v>
      </c>
      <c r="G40" s="462"/>
      <c r="H40" s="462">
        <v>0</v>
      </c>
      <c r="I40" s="462">
        <f t="shared" si="13"/>
        <v>0</v>
      </c>
      <c r="J40" s="463"/>
      <c r="K40" s="462">
        <v>0</v>
      </c>
      <c r="L40" s="462">
        <f t="shared" si="14"/>
        <v>0</v>
      </c>
      <c r="M40" s="463"/>
      <c r="N40" s="463"/>
      <c r="O40" s="463"/>
      <c r="P40" s="463"/>
      <c r="Q40" s="463"/>
      <c r="R40" s="398"/>
    </row>
    <row r="41" spans="2:18" ht="15" customHeight="1" x14ac:dyDescent="0.3">
      <c r="B41" s="568"/>
      <c r="C41" s="414"/>
      <c r="D41" s="462"/>
      <c r="E41" s="462"/>
      <c r="F41" s="462"/>
      <c r="G41" s="462"/>
      <c r="H41" s="462"/>
      <c r="I41" s="462"/>
      <c r="J41" s="463"/>
      <c r="K41" s="462"/>
      <c r="L41" s="462"/>
      <c r="M41" s="463"/>
      <c r="N41" s="463"/>
      <c r="O41" s="463"/>
      <c r="P41" s="463"/>
      <c r="Q41" s="463"/>
      <c r="R41" s="398"/>
    </row>
    <row r="42" spans="2:18" ht="15" customHeight="1" x14ac:dyDescent="0.3">
      <c r="B42" s="570">
        <v>2</v>
      </c>
      <c r="C42" s="415" t="s">
        <v>1650</v>
      </c>
      <c r="D42" s="462"/>
      <c r="E42" s="462"/>
      <c r="F42" s="462"/>
      <c r="G42" s="462"/>
      <c r="H42" s="462"/>
      <c r="I42" s="462"/>
      <c r="J42" s="463"/>
      <c r="K42" s="462"/>
      <c r="L42" s="462"/>
      <c r="M42" s="463"/>
      <c r="N42" s="463"/>
      <c r="O42" s="463"/>
      <c r="P42" s="463"/>
      <c r="Q42" s="463"/>
      <c r="R42" s="398"/>
    </row>
    <row r="43" spans="2:18" ht="15" customHeight="1" x14ac:dyDescent="0.3">
      <c r="B43" s="568">
        <f t="shared" ref="B43:B50" si="15">B42+0.1</f>
        <v>2.1</v>
      </c>
      <c r="C43" s="414" t="s">
        <v>30</v>
      </c>
      <c r="D43" s="462"/>
      <c r="E43" s="462">
        <v>1.1523897307974006E-2</v>
      </c>
      <c r="F43" s="462">
        <f t="shared" ref="F43:F50" si="16">E43-D43</f>
        <v>1.1523897307974006E-2</v>
      </c>
      <c r="G43" s="462"/>
      <c r="H43" s="462">
        <v>5.1701847267771181E-3</v>
      </c>
      <c r="I43" s="462">
        <f t="shared" ref="I43:I50" si="17">H43-G43</f>
        <v>5.1701847267771181E-3</v>
      </c>
      <c r="J43" s="463"/>
      <c r="K43" s="462">
        <v>0</v>
      </c>
      <c r="L43" s="462">
        <f t="shared" ref="L43:L50" si="18">K43-J43</f>
        <v>0</v>
      </c>
      <c r="M43" s="463"/>
      <c r="N43" s="463"/>
      <c r="O43" s="463"/>
      <c r="P43" s="463"/>
      <c r="Q43" s="463"/>
      <c r="R43" s="398"/>
    </row>
    <row r="44" spans="2:18" ht="15" customHeight="1" x14ac:dyDescent="0.3">
      <c r="B44" s="568">
        <f t="shared" si="15"/>
        <v>2.2000000000000002</v>
      </c>
      <c r="C44" s="414" t="s">
        <v>400</v>
      </c>
      <c r="D44" s="462"/>
      <c r="E44" s="462">
        <v>0</v>
      </c>
      <c r="F44" s="462">
        <f t="shared" si="16"/>
        <v>0</v>
      </c>
      <c r="G44" s="462"/>
      <c r="H44" s="462">
        <v>0</v>
      </c>
      <c r="I44" s="462">
        <f t="shared" si="17"/>
        <v>0</v>
      </c>
      <c r="J44" s="463"/>
      <c r="K44" s="462">
        <v>0</v>
      </c>
      <c r="L44" s="462">
        <f t="shared" si="18"/>
        <v>0</v>
      </c>
      <c r="M44" s="463"/>
      <c r="N44" s="463"/>
      <c r="O44" s="463"/>
      <c r="P44" s="463"/>
      <c r="Q44" s="463"/>
      <c r="R44" s="398"/>
    </row>
    <row r="45" spans="2:18" ht="15" customHeight="1" x14ac:dyDescent="0.3">
      <c r="B45" s="568">
        <f t="shared" si="15"/>
        <v>2.3000000000000003</v>
      </c>
      <c r="C45" s="414" t="s">
        <v>342</v>
      </c>
      <c r="D45" s="462"/>
      <c r="E45" s="462">
        <v>0</v>
      </c>
      <c r="F45" s="462">
        <f t="shared" si="16"/>
        <v>0</v>
      </c>
      <c r="G45" s="462"/>
      <c r="H45" s="462">
        <v>0</v>
      </c>
      <c r="I45" s="462">
        <f t="shared" si="17"/>
        <v>0</v>
      </c>
      <c r="J45" s="463"/>
      <c r="K45" s="462">
        <v>0</v>
      </c>
      <c r="L45" s="462">
        <f t="shared" si="18"/>
        <v>0</v>
      </c>
      <c r="M45" s="463"/>
      <c r="N45" s="463"/>
      <c r="O45" s="463"/>
      <c r="P45" s="463"/>
      <c r="Q45" s="463"/>
      <c r="R45" s="398"/>
    </row>
    <row r="46" spans="2:18" ht="15" customHeight="1" x14ac:dyDescent="0.3">
      <c r="B46" s="568">
        <f t="shared" si="15"/>
        <v>2.4000000000000004</v>
      </c>
      <c r="C46" s="414" t="s">
        <v>31</v>
      </c>
      <c r="D46" s="462"/>
      <c r="E46" s="462">
        <v>6.1413223635475907E-3</v>
      </c>
      <c r="F46" s="462">
        <f t="shared" si="16"/>
        <v>6.1413223635475907E-3</v>
      </c>
      <c r="G46" s="462"/>
      <c r="H46" s="462">
        <v>3.6119921126969647E-3</v>
      </c>
      <c r="I46" s="462">
        <f t="shared" si="17"/>
        <v>3.6119921126969647E-3</v>
      </c>
      <c r="J46" s="463"/>
      <c r="K46" s="462">
        <v>0</v>
      </c>
      <c r="L46" s="462">
        <f t="shared" si="18"/>
        <v>0</v>
      </c>
      <c r="M46" s="463"/>
      <c r="N46" s="463"/>
      <c r="O46" s="463"/>
      <c r="P46" s="463"/>
      <c r="Q46" s="463"/>
      <c r="R46" s="398"/>
    </row>
    <row r="47" spans="2:18" ht="15" customHeight="1" x14ac:dyDescent="0.3">
      <c r="B47" s="568">
        <f t="shared" si="15"/>
        <v>2.5000000000000004</v>
      </c>
      <c r="C47" s="414" t="s">
        <v>32</v>
      </c>
      <c r="D47" s="462"/>
      <c r="E47" s="462">
        <f>+E43-E44+E45-E46</f>
        <v>5.3825749444264149E-3</v>
      </c>
      <c r="F47" s="462">
        <f t="shared" si="16"/>
        <v>5.3825749444264149E-3</v>
      </c>
      <c r="G47" s="462"/>
      <c r="H47" s="462">
        <f>+H43-H44+H45-H46</f>
        <v>1.5581926140801534E-3</v>
      </c>
      <c r="I47" s="462">
        <f t="shared" si="17"/>
        <v>1.5581926140801534E-3</v>
      </c>
      <c r="J47" s="463"/>
      <c r="K47" s="462">
        <f>+K43-K44+K45-K46</f>
        <v>0</v>
      </c>
      <c r="L47" s="462">
        <f t="shared" si="18"/>
        <v>0</v>
      </c>
      <c r="M47" s="463"/>
      <c r="N47" s="463">
        <f>+M43-M44+M45-M46</f>
        <v>0</v>
      </c>
      <c r="O47" s="463"/>
      <c r="P47" s="463"/>
      <c r="Q47" s="463">
        <f>+O43-O44+O45-O46</f>
        <v>0</v>
      </c>
      <c r="R47" s="398"/>
    </row>
    <row r="48" spans="2:18" ht="15" customHeight="1" x14ac:dyDescent="0.3">
      <c r="B48" s="568">
        <f t="shared" si="15"/>
        <v>2.6000000000000005</v>
      </c>
      <c r="C48" s="414" t="s">
        <v>469</v>
      </c>
      <c r="D48" s="462"/>
      <c r="E48" s="428">
        <f>AVERAGE(E43,E47)</f>
        <v>8.4532361262002094E-3</v>
      </c>
      <c r="F48" s="462">
        <f t="shared" si="16"/>
        <v>8.4532361262002094E-3</v>
      </c>
      <c r="G48" s="462"/>
      <c r="H48" s="428">
        <f>AVERAGE(H43,H47)</f>
        <v>3.3641886704286359E-3</v>
      </c>
      <c r="I48" s="462">
        <f t="shared" si="17"/>
        <v>3.3641886704286359E-3</v>
      </c>
      <c r="J48" s="463"/>
      <c r="K48" s="428">
        <f>AVERAGE(K43,K47)</f>
        <v>0</v>
      </c>
      <c r="L48" s="462">
        <f t="shared" si="18"/>
        <v>0</v>
      </c>
      <c r="M48" s="463"/>
      <c r="N48" s="463"/>
      <c r="O48" s="463"/>
      <c r="P48" s="463"/>
      <c r="Q48" s="463"/>
      <c r="R48" s="398"/>
    </row>
    <row r="49" spans="2:18" s="564" customFormat="1" ht="15" customHeight="1" x14ac:dyDescent="0.3">
      <c r="B49" s="572">
        <f t="shared" si="15"/>
        <v>2.7000000000000006</v>
      </c>
      <c r="C49" s="560" t="s">
        <v>33</v>
      </c>
      <c r="D49" s="561"/>
      <c r="E49" s="561">
        <f>IFERROR(E50/E48,0)</f>
        <v>9.8934445273506574E-2</v>
      </c>
      <c r="F49" s="561">
        <f>F50/F48</f>
        <v>9.8934445273506574E-2</v>
      </c>
      <c r="G49" s="561"/>
      <c r="H49" s="561">
        <f>IFERROR(H50/H48,0)</f>
        <v>8.7636431219473621E-2</v>
      </c>
      <c r="I49" s="561">
        <f>I50/I48</f>
        <v>8.7636431219473621E-2</v>
      </c>
      <c r="J49" s="562"/>
      <c r="K49" s="561">
        <f>IFERROR(K50/K48,0)</f>
        <v>0</v>
      </c>
      <c r="L49" s="561" t="e">
        <f>L50/L48</f>
        <v>#DIV/0!</v>
      </c>
      <c r="M49" s="562"/>
      <c r="N49" s="562" t="e">
        <f>M50/N48</f>
        <v>#DIV/0!</v>
      </c>
      <c r="O49" s="562"/>
      <c r="P49" s="562"/>
      <c r="Q49" s="562" t="e">
        <f>O50/Q48</f>
        <v>#DIV/0!</v>
      </c>
      <c r="R49" s="563"/>
    </row>
    <row r="50" spans="2:18" ht="15" customHeight="1" x14ac:dyDescent="0.3">
      <c r="B50" s="568">
        <f t="shared" si="15"/>
        <v>2.8000000000000007</v>
      </c>
      <c r="C50" s="414" t="s">
        <v>34</v>
      </c>
      <c r="D50" s="462"/>
      <c r="E50" s="462">
        <v>8.3631622691158331E-4</v>
      </c>
      <c r="F50" s="462">
        <f t="shared" si="16"/>
        <v>8.3631622691158331E-4</v>
      </c>
      <c r="G50" s="462"/>
      <c r="H50" s="462">
        <v>2.9482548902535154E-4</v>
      </c>
      <c r="I50" s="462">
        <f t="shared" si="17"/>
        <v>2.9482548902535154E-4</v>
      </c>
      <c r="J50" s="463"/>
      <c r="K50" s="462">
        <v>0</v>
      </c>
      <c r="L50" s="462">
        <f t="shared" si="18"/>
        <v>0</v>
      </c>
      <c r="M50" s="463"/>
      <c r="N50" s="463"/>
      <c r="O50" s="463"/>
      <c r="P50" s="463"/>
      <c r="Q50" s="463"/>
      <c r="R50" s="398"/>
    </row>
    <row r="51" spans="2:18" ht="15" customHeight="1" x14ac:dyDescent="0.3">
      <c r="B51" s="568"/>
      <c r="C51" s="414"/>
      <c r="D51" s="462"/>
      <c r="E51" s="462"/>
      <c r="F51" s="462"/>
      <c r="G51" s="462"/>
      <c r="H51" s="462"/>
      <c r="I51" s="462"/>
      <c r="J51" s="463"/>
      <c r="K51" s="462"/>
      <c r="L51" s="462"/>
      <c r="M51" s="463"/>
      <c r="N51" s="463"/>
      <c r="O51" s="463"/>
      <c r="P51" s="463"/>
      <c r="Q51" s="463"/>
      <c r="R51" s="398"/>
    </row>
    <row r="52" spans="2:18" ht="15" customHeight="1" x14ac:dyDescent="0.3">
      <c r="B52" s="570">
        <v>3</v>
      </c>
      <c r="C52" s="415" t="s">
        <v>1651</v>
      </c>
      <c r="D52" s="462"/>
      <c r="E52" s="462"/>
      <c r="F52" s="462"/>
      <c r="G52" s="462"/>
      <c r="H52" s="462"/>
      <c r="I52" s="462"/>
      <c r="J52" s="463"/>
      <c r="K52" s="462"/>
      <c r="L52" s="462"/>
      <c r="M52" s="463"/>
      <c r="N52" s="463"/>
      <c r="O52" s="463"/>
      <c r="P52" s="463"/>
      <c r="Q52" s="463"/>
      <c r="R52" s="398"/>
    </row>
    <row r="53" spans="2:18" ht="15" customHeight="1" x14ac:dyDescent="0.3">
      <c r="B53" s="568">
        <f>B52+0.1</f>
        <v>3.1</v>
      </c>
      <c r="C53" s="414" t="s">
        <v>30</v>
      </c>
      <c r="D53" s="462"/>
      <c r="E53" s="462">
        <v>6.3310077560563389</v>
      </c>
      <c r="F53" s="462">
        <f t="shared" ref="F53:F60" si="19">E53-D53</f>
        <v>6.3310077560563389</v>
      </c>
      <c r="G53" s="462"/>
      <c r="H53" s="462">
        <v>5.5841114511386696</v>
      </c>
      <c r="I53" s="462">
        <f t="shared" ref="I53:I60" si="20">H53-G53</f>
        <v>5.5841114511386696</v>
      </c>
      <c r="J53" s="463"/>
      <c r="K53" s="462">
        <v>0</v>
      </c>
      <c r="L53" s="462">
        <f t="shared" ref="L53:L60" si="21">K53-J53</f>
        <v>0</v>
      </c>
      <c r="M53" s="463"/>
      <c r="N53" s="463"/>
      <c r="O53" s="463"/>
      <c r="P53" s="463"/>
      <c r="Q53" s="463"/>
      <c r="R53" s="398"/>
    </row>
    <row r="54" spans="2:18" ht="15" customHeight="1" x14ac:dyDescent="0.3">
      <c r="B54" s="568">
        <f t="shared" ref="B54:B60" si="22">B53+0.1</f>
        <v>3.2</v>
      </c>
      <c r="C54" s="414" t="s">
        <v>400</v>
      </c>
      <c r="D54" s="462"/>
      <c r="E54" s="462">
        <v>0</v>
      </c>
      <c r="F54" s="462">
        <f t="shared" si="19"/>
        <v>0</v>
      </c>
      <c r="G54" s="462"/>
      <c r="H54" s="462">
        <v>0</v>
      </c>
      <c r="I54" s="462">
        <f t="shared" si="20"/>
        <v>0</v>
      </c>
      <c r="J54" s="463"/>
      <c r="K54" s="462">
        <v>0</v>
      </c>
      <c r="L54" s="462">
        <f t="shared" si="21"/>
        <v>0</v>
      </c>
      <c r="M54" s="463"/>
      <c r="N54" s="463"/>
      <c r="O54" s="463"/>
      <c r="P54" s="463"/>
      <c r="Q54" s="463"/>
      <c r="R54" s="398"/>
    </row>
    <row r="55" spans="2:18" ht="15" customHeight="1" x14ac:dyDescent="0.3">
      <c r="B55" s="568">
        <f t="shared" si="22"/>
        <v>3.3000000000000003</v>
      </c>
      <c r="C55" s="414" t="s">
        <v>342</v>
      </c>
      <c r="D55" s="462"/>
      <c r="E55" s="462">
        <v>5.9225644366197192E-2</v>
      </c>
      <c r="F55" s="462">
        <f t="shared" si="19"/>
        <v>5.9225644366197192E-2</v>
      </c>
      <c r="G55" s="462"/>
      <c r="H55" s="462">
        <v>0.5546718951521985</v>
      </c>
      <c r="I55" s="462">
        <f t="shared" si="20"/>
        <v>0.5546718951521985</v>
      </c>
      <c r="J55" s="463"/>
      <c r="K55" s="462">
        <v>0</v>
      </c>
      <c r="L55" s="462">
        <f t="shared" si="21"/>
        <v>0</v>
      </c>
      <c r="M55" s="463"/>
      <c r="N55" s="463"/>
      <c r="O55" s="463"/>
      <c r="P55" s="463"/>
      <c r="Q55" s="463"/>
      <c r="R55" s="398"/>
    </row>
    <row r="56" spans="2:18" ht="15" customHeight="1" x14ac:dyDescent="0.3">
      <c r="B56" s="568">
        <f t="shared" si="22"/>
        <v>3.4000000000000004</v>
      </c>
      <c r="C56" s="414" t="s">
        <v>31</v>
      </c>
      <c r="D56" s="462"/>
      <c r="E56" s="462">
        <v>0.5767276995305165</v>
      </c>
      <c r="F56" s="462">
        <f t="shared" si="19"/>
        <v>0.5767276995305165</v>
      </c>
      <c r="G56" s="462"/>
      <c r="H56" s="462">
        <v>0.70948253090191671</v>
      </c>
      <c r="I56" s="462">
        <f t="shared" si="20"/>
        <v>0.70948253090191671</v>
      </c>
      <c r="J56" s="463"/>
      <c r="K56" s="462">
        <v>0</v>
      </c>
      <c r="L56" s="462">
        <f t="shared" si="21"/>
        <v>0</v>
      </c>
      <c r="M56" s="463"/>
      <c r="N56" s="463"/>
      <c r="O56" s="463"/>
      <c r="P56" s="463"/>
      <c r="Q56" s="463"/>
      <c r="R56" s="398"/>
    </row>
    <row r="57" spans="2:18" ht="15" customHeight="1" x14ac:dyDescent="0.3">
      <c r="B57" s="568">
        <f t="shared" si="22"/>
        <v>3.5000000000000004</v>
      </c>
      <c r="C57" s="414" t="s">
        <v>32</v>
      </c>
      <c r="D57" s="462"/>
      <c r="E57" s="462">
        <f>+E53-E54+E55-E56</f>
        <v>5.8135057008920201</v>
      </c>
      <c r="F57" s="462">
        <f t="shared" si="19"/>
        <v>5.8135057008920201</v>
      </c>
      <c r="G57" s="462"/>
      <c r="H57" s="462">
        <f>+H53-H54+H55-H56</f>
        <v>5.4293008153889515</v>
      </c>
      <c r="I57" s="462">
        <f t="shared" si="20"/>
        <v>5.4293008153889515</v>
      </c>
      <c r="J57" s="463"/>
      <c r="K57" s="462">
        <f>+K53-K54+K55-K56</f>
        <v>0</v>
      </c>
      <c r="L57" s="462">
        <f t="shared" si="21"/>
        <v>0</v>
      </c>
      <c r="M57" s="463"/>
      <c r="N57" s="463">
        <f>+M53-M54+M55-M56</f>
        <v>0</v>
      </c>
      <c r="O57" s="463"/>
      <c r="P57" s="463"/>
      <c r="Q57" s="463">
        <f>+O53-O54+O55-O56</f>
        <v>0</v>
      </c>
      <c r="R57" s="398"/>
    </row>
    <row r="58" spans="2:18" ht="15" customHeight="1" x14ac:dyDescent="0.3">
      <c r="B58" s="568">
        <f t="shared" si="22"/>
        <v>3.6000000000000005</v>
      </c>
      <c r="C58" s="414" t="s">
        <v>469</v>
      </c>
      <c r="D58" s="462"/>
      <c r="E58" s="428">
        <f>AVERAGE(E53,E57)</f>
        <v>6.07225672847418</v>
      </c>
      <c r="F58" s="462">
        <f t="shared" si="19"/>
        <v>6.07225672847418</v>
      </c>
      <c r="G58" s="462"/>
      <c r="H58" s="428">
        <f>AVERAGE(H53,H57)</f>
        <v>5.5067061332638101</v>
      </c>
      <c r="I58" s="462">
        <f t="shared" si="20"/>
        <v>5.5067061332638101</v>
      </c>
      <c r="J58" s="463"/>
      <c r="K58" s="428">
        <f>AVERAGE(K53,K57)</f>
        <v>0</v>
      </c>
      <c r="L58" s="462">
        <f t="shared" si="21"/>
        <v>0</v>
      </c>
      <c r="M58" s="463"/>
      <c r="N58" s="463"/>
      <c r="O58" s="463"/>
      <c r="P58" s="463"/>
      <c r="Q58" s="463"/>
      <c r="R58" s="398"/>
    </row>
    <row r="59" spans="2:18" s="564" customFormat="1" ht="15" customHeight="1" x14ac:dyDescent="0.3">
      <c r="B59" s="572">
        <f t="shared" si="22"/>
        <v>3.7000000000000006</v>
      </c>
      <c r="C59" s="560" t="s">
        <v>33</v>
      </c>
      <c r="D59" s="561"/>
      <c r="E59" s="561">
        <f>IFERROR(E60/E58,0)</f>
        <v>0.10603176734226152</v>
      </c>
      <c r="F59" s="561">
        <f>F60/F58</f>
        <v>0.10603176734226152</v>
      </c>
      <c r="G59" s="561"/>
      <c r="H59" s="561">
        <f>IFERROR(H60/H58,0)</f>
        <v>0.1068701003806129</v>
      </c>
      <c r="I59" s="561">
        <f>I60/I58</f>
        <v>0.1068701003806129</v>
      </c>
      <c r="J59" s="562"/>
      <c r="K59" s="561">
        <f>IFERROR(K60/K58,0)</f>
        <v>0</v>
      </c>
      <c r="L59" s="561" t="e">
        <f>L60/L58</f>
        <v>#DIV/0!</v>
      </c>
      <c r="M59" s="562"/>
      <c r="N59" s="562" t="e">
        <f>M60/N58</f>
        <v>#DIV/0!</v>
      </c>
      <c r="O59" s="562"/>
      <c r="P59" s="562"/>
      <c r="Q59" s="562" t="e">
        <f>O60/Q58</f>
        <v>#DIV/0!</v>
      </c>
      <c r="R59" s="563"/>
    </row>
    <row r="60" spans="2:18" ht="15" customHeight="1" x14ac:dyDescent="0.3">
      <c r="B60" s="568">
        <f t="shared" si="22"/>
        <v>3.8000000000000007</v>
      </c>
      <c r="C60" s="414" t="s">
        <v>34</v>
      </c>
      <c r="D60" s="462"/>
      <c r="E60" s="462">
        <v>0.64385211267605635</v>
      </c>
      <c r="F60" s="462">
        <f t="shared" si="19"/>
        <v>0.64385211267605635</v>
      </c>
      <c r="G60" s="462"/>
      <c r="H60" s="462">
        <v>0.58850223722844008</v>
      </c>
      <c r="I60" s="462">
        <f t="shared" si="20"/>
        <v>0.58850223722844008</v>
      </c>
      <c r="J60" s="463"/>
      <c r="K60" s="462">
        <v>0</v>
      </c>
      <c r="L60" s="462">
        <f t="shared" si="21"/>
        <v>0</v>
      </c>
      <c r="M60" s="463"/>
      <c r="N60" s="463"/>
      <c r="O60" s="463"/>
      <c r="P60" s="463"/>
      <c r="Q60" s="463"/>
      <c r="R60" s="398"/>
    </row>
    <row r="61" spans="2:18" ht="15" customHeight="1" x14ac:dyDescent="0.3">
      <c r="B61" s="570"/>
      <c r="C61" s="415"/>
      <c r="D61" s="462"/>
      <c r="E61" s="462"/>
      <c r="F61" s="462"/>
      <c r="G61" s="462"/>
      <c r="H61" s="462"/>
      <c r="I61" s="462"/>
      <c r="J61" s="463"/>
      <c r="K61" s="462"/>
      <c r="L61" s="462"/>
      <c r="M61" s="463"/>
      <c r="N61" s="463"/>
      <c r="O61" s="463"/>
      <c r="P61" s="463"/>
      <c r="Q61" s="463"/>
      <c r="R61" s="398"/>
    </row>
    <row r="62" spans="2:18" ht="15" customHeight="1" x14ac:dyDescent="0.3">
      <c r="B62" s="570">
        <v>4</v>
      </c>
      <c r="C62" s="415" t="s">
        <v>1652</v>
      </c>
      <c r="D62" s="462"/>
      <c r="E62" s="462"/>
      <c r="F62" s="462"/>
      <c r="G62" s="462"/>
      <c r="H62" s="462"/>
      <c r="I62" s="462"/>
      <c r="J62" s="463"/>
      <c r="K62" s="462"/>
      <c r="L62" s="462"/>
      <c r="M62" s="463"/>
      <c r="N62" s="463"/>
      <c r="O62" s="463"/>
      <c r="P62" s="463"/>
      <c r="Q62" s="463"/>
      <c r="R62" s="398"/>
    </row>
    <row r="63" spans="2:18" ht="15" customHeight="1" x14ac:dyDescent="0.3">
      <c r="B63" s="568">
        <f>B62+0.1</f>
        <v>4.0999999999999996</v>
      </c>
      <c r="C63" s="414" t="s">
        <v>30</v>
      </c>
      <c r="D63" s="462"/>
      <c r="E63" s="462">
        <v>0</v>
      </c>
      <c r="F63" s="462">
        <f t="shared" ref="F63:F70" si="23">E63-D63</f>
        <v>0</v>
      </c>
      <c r="G63" s="462"/>
      <c r="H63" s="462">
        <v>0</v>
      </c>
      <c r="I63" s="462">
        <f t="shared" ref="I63:I70" si="24">H63-G63</f>
        <v>0</v>
      </c>
      <c r="J63" s="463"/>
      <c r="K63" s="462">
        <v>0</v>
      </c>
      <c r="L63" s="462">
        <f t="shared" ref="L63:L70" si="25">K63-J63</f>
        <v>0</v>
      </c>
      <c r="M63" s="463"/>
      <c r="N63" s="463"/>
      <c r="O63" s="463"/>
      <c r="P63" s="463"/>
      <c r="Q63" s="463"/>
      <c r="R63" s="398"/>
    </row>
    <row r="64" spans="2:18" ht="15" customHeight="1" x14ac:dyDescent="0.3">
      <c r="B64" s="568">
        <f t="shared" ref="B64:B70" si="26">B63+0.1</f>
        <v>4.1999999999999993</v>
      </c>
      <c r="C64" s="414" t="s">
        <v>400</v>
      </c>
      <c r="D64" s="462"/>
      <c r="E64" s="462">
        <v>0</v>
      </c>
      <c r="F64" s="462">
        <f t="shared" si="23"/>
        <v>0</v>
      </c>
      <c r="G64" s="462"/>
      <c r="H64" s="462">
        <v>0</v>
      </c>
      <c r="I64" s="462">
        <f t="shared" si="24"/>
        <v>0</v>
      </c>
      <c r="J64" s="463"/>
      <c r="K64" s="462">
        <v>0</v>
      </c>
      <c r="L64" s="462">
        <f t="shared" si="25"/>
        <v>0</v>
      </c>
      <c r="M64" s="463"/>
      <c r="N64" s="463"/>
      <c r="O64" s="463"/>
      <c r="P64" s="463"/>
      <c r="Q64" s="463"/>
      <c r="R64" s="398"/>
    </row>
    <row r="65" spans="2:18" ht="15" customHeight="1" x14ac:dyDescent="0.3">
      <c r="B65" s="568">
        <f t="shared" si="26"/>
        <v>4.2999999999999989</v>
      </c>
      <c r="C65" s="414" t="s">
        <v>342</v>
      </c>
      <c r="D65" s="462"/>
      <c r="E65" s="462">
        <v>0</v>
      </c>
      <c r="F65" s="462">
        <f t="shared" si="23"/>
        <v>0</v>
      </c>
      <c r="G65" s="462"/>
      <c r="H65" s="462">
        <v>0</v>
      </c>
      <c r="I65" s="462">
        <f t="shared" si="24"/>
        <v>0</v>
      </c>
      <c r="J65" s="463"/>
      <c r="K65" s="462">
        <v>0</v>
      </c>
      <c r="L65" s="462">
        <f t="shared" si="25"/>
        <v>0</v>
      </c>
      <c r="M65" s="463"/>
      <c r="N65" s="463"/>
      <c r="O65" s="463"/>
      <c r="P65" s="463"/>
      <c r="Q65" s="463"/>
      <c r="R65" s="398"/>
    </row>
    <row r="66" spans="2:18" ht="15" customHeight="1" x14ac:dyDescent="0.3">
      <c r="B66" s="568">
        <f t="shared" si="26"/>
        <v>4.3999999999999986</v>
      </c>
      <c r="C66" s="414" t="s">
        <v>31</v>
      </c>
      <c r="D66" s="462"/>
      <c r="E66" s="462">
        <v>0</v>
      </c>
      <c r="F66" s="462">
        <f t="shared" si="23"/>
        <v>0</v>
      </c>
      <c r="G66" s="462"/>
      <c r="H66" s="462">
        <v>0</v>
      </c>
      <c r="I66" s="462">
        <f t="shared" si="24"/>
        <v>0</v>
      </c>
      <c r="J66" s="463"/>
      <c r="K66" s="462">
        <v>0</v>
      </c>
      <c r="L66" s="462">
        <f t="shared" si="25"/>
        <v>0</v>
      </c>
      <c r="M66" s="463"/>
      <c r="N66" s="463"/>
      <c r="O66" s="463"/>
      <c r="P66" s="463"/>
      <c r="Q66" s="463"/>
      <c r="R66" s="398"/>
    </row>
    <row r="67" spans="2:18" ht="15" customHeight="1" x14ac:dyDescent="0.3">
      <c r="B67" s="568">
        <f t="shared" si="26"/>
        <v>4.4999999999999982</v>
      </c>
      <c r="C67" s="414" t="s">
        <v>32</v>
      </c>
      <c r="D67" s="462"/>
      <c r="E67" s="462">
        <f>+E63-E64+E65-E66</f>
        <v>0</v>
      </c>
      <c r="F67" s="462">
        <f t="shared" si="23"/>
        <v>0</v>
      </c>
      <c r="G67" s="462"/>
      <c r="H67" s="462">
        <f>+H63-H64+H65-H66</f>
        <v>0</v>
      </c>
      <c r="I67" s="462">
        <f t="shared" si="24"/>
        <v>0</v>
      </c>
      <c r="J67" s="463"/>
      <c r="K67" s="462">
        <f>+K63-K64+K65-K66</f>
        <v>0</v>
      </c>
      <c r="L67" s="462">
        <f t="shared" si="25"/>
        <v>0</v>
      </c>
      <c r="M67" s="463"/>
      <c r="N67" s="463">
        <f>+M63-M64+M65-M66</f>
        <v>0</v>
      </c>
      <c r="O67" s="463"/>
      <c r="P67" s="463"/>
      <c r="Q67" s="463">
        <f>+O63-O64+O65-O66</f>
        <v>0</v>
      </c>
      <c r="R67" s="398"/>
    </row>
    <row r="68" spans="2:18" ht="15" customHeight="1" x14ac:dyDescent="0.3">
      <c r="B68" s="568">
        <f t="shared" si="26"/>
        <v>4.5999999999999979</v>
      </c>
      <c r="C68" s="414" t="s">
        <v>469</v>
      </c>
      <c r="D68" s="462"/>
      <c r="E68" s="428">
        <f>AVERAGE(E63,E67)</f>
        <v>0</v>
      </c>
      <c r="F68" s="462">
        <f t="shared" si="23"/>
        <v>0</v>
      </c>
      <c r="G68" s="462"/>
      <c r="H68" s="428">
        <f>AVERAGE(H63,H67)</f>
        <v>0</v>
      </c>
      <c r="I68" s="462">
        <f t="shared" si="24"/>
        <v>0</v>
      </c>
      <c r="J68" s="463"/>
      <c r="K68" s="428">
        <f>AVERAGE(K63,K67)</f>
        <v>0</v>
      </c>
      <c r="L68" s="462">
        <f t="shared" si="25"/>
        <v>0</v>
      </c>
      <c r="M68" s="463"/>
      <c r="N68" s="463"/>
      <c r="O68" s="463"/>
      <c r="P68" s="463"/>
      <c r="Q68" s="463"/>
      <c r="R68" s="398"/>
    </row>
    <row r="69" spans="2:18" s="564" customFormat="1" ht="15" customHeight="1" x14ac:dyDescent="0.3">
      <c r="B69" s="572">
        <f t="shared" si="26"/>
        <v>4.6999999999999975</v>
      </c>
      <c r="C69" s="560" t="s">
        <v>33</v>
      </c>
      <c r="D69" s="561"/>
      <c r="E69" s="561">
        <f>IFERROR(E70/E68,0)</f>
        <v>0</v>
      </c>
      <c r="F69" s="561" t="e">
        <f>F70/F68</f>
        <v>#DIV/0!</v>
      </c>
      <c r="G69" s="561"/>
      <c r="H69" s="561">
        <f>IFERROR(H70/H68,0)</f>
        <v>0</v>
      </c>
      <c r="I69" s="561" t="e">
        <f>I70/I68</f>
        <v>#DIV/0!</v>
      </c>
      <c r="J69" s="562"/>
      <c r="K69" s="561">
        <f>IFERROR(K70/K68,0)</f>
        <v>0</v>
      </c>
      <c r="L69" s="561" t="e">
        <f>L70/L68</f>
        <v>#DIV/0!</v>
      </c>
      <c r="M69" s="562"/>
      <c r="N69" s="562" t="e">
        <f>M70/N68</f>
        <v>#DIV/0!</v>
      </c>
      <c r="O69" s="562"/>
      <c r="P69" s="562"/>
      <c r="Q69" s="562" t="e">
        <f>O70/Q68</f>
        <v>#DIV/0!</v>
      </c>
      <c r="R69" s="563"/>
    </row>
    <row r="70" spans="2:18" ht="15" customHeight="1" x14ac:dyDescent="0.3">
      <c r="B70" s="568">
        <f t="shared" si="26"/>
        <v>4.7999999999999972</v>
      </c>
      <c r="C70" s="414" t="s">
        <v>34</v>
      </c>
      <c r="D70" s="462"/>
      <c r="E70" s="462">
        <v>0</v>
      </c>
      <c r="F70" s="462">
        <f t="shared" si="23"/>
        <v>0</v>
      </c>
      <c r="G70" s="462"/>
      <c r="H70" s="462">
        <v>0</v>
      </c>
      <c r="I70" s="462">
        <f t="shared" si="24"/>
        <v>0</v>
      </c>
      <c r="J70" s="463"/>
      <c r="K70" s="462">
        <v>0</v>
      </c>
      <c r="L70" s="462">
        <f t="shared" si="25"/>
        <v>0</v>
      </c>
      <c r="M70" s="463"/>
      <c r="N70" s="463"/>
      <c r="O70" s="463"/>
      <c r="P70" s="463"/>
      <c r="Q70" s="463"/>
      <c r="R70" s="398"/>
    </row>
    <row r="71" spans="2:18" ht="15" customHeight="1" x14ac:dyDescent="0.3">
      <c r="B71" s="570"/>
      <c r="C71" s="415"/>
      <c r="D71" s="462"/>
      <c r="E71" s="462"/>
      <c r="F71" s="462"/>
      <c r="G71" s="462"/>
      <c r="H71" s="462"/>
      <c r="I71" s="462"/>
      <c r="J71" s="463"/>
      <c r="K71" s="462"/>
      <c r="L71" s="462"/>
      <c r="M71" s="463"/>
      <c r="N71" s="463"/>
      <c r="O71" s="463"/>
      <c r="P71" s="463"/>
      <c r="Q71" s="463"/>
      <c r="R71" s="398"/>
    </row>
    <row r="72" spans="2:18" ht="15" customHeight="1" x14ac:dyDescent="0.3">
      <c r="B72" s="570">
        <v>5</v>
      </c>
      <c r="C72" s="415" t="s">
        <v>1653</v>
      </c>
      <c r="D72" s="462"/>
      <c r="E72" s="462"/>
      <c r="F72" s="462"/>
      <c r="G72" s="462"/>
      <c r="H72" s="462"/>
      <c r="I72" s="462"/>
      <c r="J72" s="463"/>
      <c r="K72" s="462"/>
      <c r="L72" s="462"/>
      <c r="M72" s="463"/>
      <c r="N72" s="463"/>
      <c r="O72" s="463"/>
      <c r="P72" s="463"/>
      <c r="Q72" s="463"/>
      <c r="R72" s="398"/>
    </row>
    <row r="73" spans="2:18" ht="15" customHeight="1" x14ac:dyDescent="0.3">
      <c r="B73" s="568">
        <f>B72+0.1</f>
        <v>5.0999999999999996</v>
      </c>
      <c r="C73" s="414" t="s">
        <v>30</v>
      </c>
      <c r="D73" s="462"/>
      <c r="E73" s="462">
        <v>2.3397155570942893E-2</v>
      </c>
      <c r="F73" s="462">
        <f t="shared" ref="F73:F80" si="27">E73-D73</f>
        <v>2.3397155570942893E-2</v>
      </c>
      <c r="G73" s="462"/>
      <c r="H73" s="462">
        <v>1.4061502801677294E-9</v>
      </c>
      <c r="I73" s="462">
        <f t="shared" ref="I73:I80" si="28">H73-G73</f>
        <v>1.4061502801677294E-9</v>
      </c>
      <c r="J73" s="463"/>
      <c r="K73" s="462">
        <v>0</v>
      </c>
      <c r="L73" s="462">
        <f t="shared" ref="L73:L80" si="29">K73-J73</f>
        <v>0</v>
      </c>
      <c r="M73" s="463"/>
      <c r="N73" s="463"/>
      <c r="O73" s="463"/>
      <c r="P73" s="463"/>
      <c r="Q73" s="463"/>
      <c r="R73" s="398"/>
    </row>
    <row r="74" spans="2:18" ht="15" customHeight="1" x14ac:dyDescent="0.3">
      <c r="B74" s="568">
        <f t="shared" ref="B74:B80" si="30">B73+0.1</f>
        <v>5.1999999999999993</v>
      </c>
      <c r="C74" s="414" t="s">
        <v>400</v>
      </c>
      <c r="D74" s="462"/>
      <c r="E74" s="462">
        <v>0</v>
      </c>
      <c r="F74" s="462">
        <f t="shared" si="27"/>
        <v>0</v>
      </c>
      <c r="G74" s="462"/>
      <c r="H74" s="462">
        <v>0</v>
      </c>
      <c r="I74" s="462">
        <f t="shared" si="28"/>
        <v>0</v>
      </c>
      <c r="J74" s="463"/>
      <c r="K74" s="462">
        <v>0</v>
      </c>
      <c r="L74" s="462">
        <f t="shared" si="29"/>
        <v>0</v>
      </c>
      <c r="M74" s="463"/>
      <c r="N74" s="463"/>
      <c r="O74" s="463"/>
      <c r="P74" s="463"/>
      <c r="Q74" s="463"/>
      <c r="R74" s="398"/>
    </row>
    <row r="75" spans="2:18" ht="15" customHeight="1" x14ac:dyDescent="0.3">
      <c r="B75" s="568">
        <f t="shared" si="30"/>
        <v>5.2999999999999989</v>
      </c>
      <c r="C75" s="414" t="s">
        <v>342</v>
      </c>
      <c r="D75" s="462"/>
      <c r="E75" s="462">
        <v>0</v>
      </c>
      <c r="F75" s="462">
        <f t="shared" si="27"/>
        <v>0</v>
      </c>
      <c r="G75" s="462"/>
      <c r="H75" s="462">
        <v>0</v>
      </c>
      <c r="I75" s="462">
        <f t="shared" si="28"/>
        <v>0</v>
      </c>
      <c r="J75" s="463"/>
      <c r="K75" s="462">
        <v>0</v>
      </c>
      <c r="L75" s="462">
        <f t="shared" si="29"/>
        <v>0</v>
      </c>
      <c r="M75" s="463"/>
      <c r="N75" s="463"/>
      <c r="O75" s="463"/>
      <c r="P75" s="463"/>
      <c r="Q75" s="463"/>
      <c r="R75" s="398"/>
    </row>
    <row r="76" spans="2:18" ht="15" customHeight="1" x14ac:dyDescent="0.3">
      <c r="B76" s="568">
        <f t="shared" si="30"/>
        <v>5.3999999999999986</v>
      </c>
      <c r="C76" s="414" t="s">
        <v>31</v>
      </c>
      <c r="D76" s="462"/>
      <c r="E76" s="462">
        <v>2.3397154929577467E-2</v>
      </c>
      <c r="F76" s="462">
        <f t="shared" si="27"/>
        <v>2.3397154929577467E-2</v>
      </c>
      <c r="G76" s="462"/>
      <c r="H76" s="462">
        <v>0</v>
      </c>
      <c r="I76" s="462">
        <f t="shared" si="28"/>
        <v>0</v>
      </c>
      <c r="J76" s="463"/>
      <c r="K76" s="462">
        <v>0</v>
      </c>
      <c r="L76" s="462">
        <f t="shared" si="29"/>
        <v>0</v>
      </c>
      <c r="M76" s="463"/>
      <c r="N76" s="463"/>
      <c r="O76" s="463"/>
      <c r="P76" s="463"/>
      <c r="Q76" s="463"/>
      <c r="R76" s="398"/>
    </row>
    <row r="77" spans="2:18" ht="15" customHeight="1" x14ac:dyDescent="0.3">
      <c r="B77" s="568">
        <f t="shared" si="30"/>
        <v>5.4999999999999982</v>
      </c>
      <c r="C77" s="414" t="s">
        <v>32</v>
      </c>
      <c r="D77" s="462"/>
      <c r="E77" s="462">
        <f>+E73-E74+E75-E76</f>
        <v>6.4136542604620317E-10</v>
      </c>
      <c r="F77" s="462">
        <f t="shared" si="27"/>
        <v>6.4136542604620317E-10</v>
      </c>
      <c r="G77" s="462"/>
      <c r="H77" s="462">
        <f>+H73-H74+H75-H76</f>
        <v>1.4061502801677294E-9</v>
      </c>
      <c r="I77" s="462">
        <f t="shared" si="28"/>
        <v>1.4061502801677294E-9</v>
      </c>
      <c r="J77" s="463"/>
      <c r="K77" s="462">
        <f>+K73-K74+K75-K76</f>
        <v>0</v>
      </c>
      <c r="L77" s="462">
        <f t="shared" si="29"/>
        <v>0</v>
      </c>
      <c r="M77" s="463"/>
      <c r="N77" s="463">
        <f>+M73-M74+M75-M76</f>
        <v>0</v>
      </c>
      <c r="O77" s="463"/>
      <c r="P77" s="463"/>
      <c r="Q77" s="463">
        <f>+O73-O74+O75-O76</f>
        <v>0</v>
      </c>
      <c r="R77" s="398"/>
    </row>
    <row r="78" spans="2:18" ht="15" customHeight="1" x14ac:dyDescent="0.3">
      <c r="B78" s="568">
        <f t="shared" si="30"/>
        <v>5.5999999999999979</v>
      </c>
      <c r="C78" s="414" t="s">
        <v>469</v>
      </c>
      <c r="D78" s="462"/>
      <c r="E78" s="428">
        <f>AVERAGE(E73,E77)</f>
        <v>1.169857810615416E-2</v>
      </c>
      <c r="F78" s="462">
        <f t="shared" si="27"/>
        <v>1.169857810615416E-2</v>
      </c>
      <c r="G78" s="462"/>
      <c r="H78" s="428">
        <f>AVERAGE(H73,H77)</f>
        <v>1.4061502801677294E-9</v>
      </c>
      <c r="I78" s="462">
        <f t="shared" si="28"/>
        <v>1.4061502801677294E-9</v>
      </c>
      <c r="J78" s="463"/>
      <c r="K78" s="428">
        <f>AVERAGE(K73,K77)</f>
        <v>0</v>
      </c>
      <c r="L78" s="462">
        <f t="shared" si="29"/>
        <v>0</v>
      </c>
      <c r="M78" s="463"/>
      <c r="N78" s="463"/>
      <c r="O78" s="463"/>
      <c r="P78" s="463"/>
      <c r="Q78" s="463"/>
      <c r="R78" s="398"/>
    </row>
    <row r="79" spans="2:18" s="564" customFormat="1" ht="15" customHeight="1" x14ac:dyDescent="0.3">
      <c r="B79" s="572">
        <f t="shared" si="30"/>
        <v>5.6999999999999975</v>
      </c>
      <c r="C79" s="560" t="s">
        <v>33</v>
      </c>
      <c r="D79" s="561"/>
      <c r="E79" s="561">
        <f>IFERROR(E80/E78,0)</f>
        <v>1.9062252036505346E-2</v>
      </c>
      <c r="F79" s="561">
        <f>F80/F78</f>
        <v>1.9062252036505346E-2</v>
      </c>
      <c r="G79" s="561"/>
      <c r="H79" s="561">
        <f>IFERROR(H80/H78,0)</f>
        <v>0</v>
      </c>
      <c r="I79" s="561">
        <f>I80/I78</f>
        <v>0</v>
      </c>
      <c r="J79" s="562"/>
      <c r="K79" s="561">
        <f>IFERROR(K80/K78,0)</f>
        <v>0</v>
      </c>
      <c r="L79" s="561" t="e">
        <f>L80/L78</f>
        <v>#DIV/0!</v>
      </c>
      <c r="M79" s="562"/>
      <c r="N79" s="562" t="e">
        <f>M80/N78</f>
        <v>#DIV/0!</v>
      </c>
      <c r="O79" s="562"/>
      <c r="P79" s="562"/>
      <c r="Q79" s="562" t="e">
        <f>O80/Q78</f>
        <v>#DIV/0!</v>
      </c>
      <c r="R79" s="563"/>
    </row>
    <row r="80" spans="2:18" ht="15" customHeight="1" x14ac:dyDescent="0.3">
      <c r="B80" s="568">
        <f t="shared" si="30"/>
        <v>5.7999999999999972</v>
      </c>
      <c r="C80" s="414" t="s">
        <v>34</v>
      </c>
      <c r="D80" s="462"/>
      <c r="E80" s="462">
        <v>2.2300124432825399E-4</v>
      </c>
      <c r="F80" s="462">
        <f t="shared" si="27"/>
        <v>2.2300124432825399E-4</v>
      </c>
      <c r="G80" s="462"/>
      <c r="H80" s="462">
        <v>0</v>
      </c>
      <c r="I80" s="462">
        <f t="shared" si="28"/>
        <v>0</v>
      </c>
      <c r="J80" s="463"/>
      <c r="K80" s="462">
        <v>0</v>
      </c>
      <c r="L80" s="462">
        <f t="shared" si="29"/>
        <v>0</v>
      </c>
      <c r="M80" s="463"/>
      <c r="N80" s="463"/>
      <c r="O80" s="463"/>
      <c r="P80" s="463"/>
      <c r="Q80" s="463"/>
      <c r="R80" s="398"/>
    </row>
    <row r="81" spans="2:18" ht="15" customHeight="1" x14ac:dyDescent="0.3">
      <c r="B81" s="570"/>
      <c r="C81" s="415"/>
      <c r="D81" s="462"/>
      <c r="E81" s="462"/>
      <c r="F81" s="462"/>
      <c r="G81" s="462"/>
      <c r="H81" s="462"/>
      <c r="I81" s="462"/>
      <c r="J81" s="463"/>
      <c r="K81" s="462"/>
      <c r="L81" s="462"/>
      <c r="M81" s="463"/>
      <c r="N81" s="463"/>
      <c r="O81" s="463"/>
      <c r="P81" s="463"/>
      <c r="Q81" s="463"/>
      <c r="R81" s="398"/>
    </row>
    <row r="82" spans="2:18" ht="15" customHeight="1" x14ac:dyDescent="0.3">
      <c r="B82" s="570">
        <v>6</v>
      </c>
      <c r="C82" s="415" t="s">
        <v>1654</v>
      </c>
      <c r="D82" s="462"/>
      <c r="E82" s="462"/>
      <c r="F82" s="462"/>
      <c r="G82" s="462"/>
      <c r="H82" s="462"/>
      <c r="I82" s="462"/>
      <c r="J82" s="463"/>
      <c r="K82" s="462"/>
      <c r="L82" s="462"/>
      <c r="M82" s="463"/>
      <c r="N82" s="463"/>
      <c r="O82" s="463"/>
      <c r="P82" s="463"/>
      <c r="Q82" s="463"/>
      <c r="R82" s="398"/>
    </row>
    <row r="83" spans="2:18" ht="15" customHeight="1" x14ac:dyDescent="0.3">
      <c r="B83" s="568">
        <f>B82+0.1</f>
        <v>6.1</v>
      </c>
      <c r="C83" s="414" t="s">
        <v>30</v>
      </c>
      <c r="D83" s="462"/>
      <c r="E83" s="462">
        <v>0</v>
      </c>
      <c r="F83" s="462">
        <f t="shared" ref="F83:F90" si="31">E83-D83</f>
        <v>0</v>
      </c>
      <c r="G83" s="462"/>
      <c r="H83" s="462">
        <v>0</v>
      </c>
      <c r="I83" s="462">
        <f t="shared" ref="I83:I90" si="32">H83-G83</f>
        <v>0</v>
      </c>
      <c r="J83" s="793"/>
      <c r="K83" s="788">
        <v>0</v>
      </c>
      <c r="L83" s="788">
        <f t="shared" ref="L83:L90" si="33">K83-J83</f>
        <v>0</v>
      </c>
      <c r="M83" s="463"/>
      <c r="N83" s="463"/>
      <c r="O83" s="463"/>
      <c r="P83" s="463"/>
      <c r="Q83" s="463"/>
      <c r="R83" s="398"/>
    </row>
    <row r="84" spans="2:18" ht="15" customHeight="1" x14ac:dyDescent="0.3">
      <c r="B84" s="568">
        <f t="shared" ref="B84:B90" si="34">B83+0.1</f>
        <v>6.1999999999999993</v>
      </c>
      <c r="C84" s="414" t="s">
        <v>400</v>
      </c>
      <c r="D84" s="462"/>
      <c r="E84" s="462">
        <v>0</v>
      </c>
      <c r="F84" s="462">
        <f t="shared" si="31"/>
        <v>0</v>
      </c>
      <c r="G84" s="462"/>
      <c r="H84" s="462">
        <v>0</v>
      </c>
      <c r="I84" s="462">
        <f t="shared" si="32"/>
        <v>0</v>
      </c>
      <c r="J84" s="793"/>
      <c r="K84" s="788">
        <v>0</v>
      </c>
      <c r="L84" s="788">
        <f t="shared" si="33"/>
        <v>0</v>
      </c>
      <c r="M84" s="463"/>
      <c r="N84" s="463"/>
      <c r="O84" s="463"/>
      <c r="P84" s="463"/>
      <c r="Q84" s="463"/>
      <c r="R84" s="398"/>
    </row>
    <row r="85" spans="2:18" ht="15" customHeight="1" x14ac:dyDescent="0.3">
      <c r="B85" s="568">
        <f t="shared" si="34"/>
        <v>6.2999999999999989</v>
      </c>
      <c r="C85" s="414" t="s">
        <v>342</v>
      </c>
      <c r="D85" s="462"/>
      <c r="E85" s="462">
        <v>0</v>
      </c>
      <c r="F85" s="462">
        <f t="shared" si="31"/>
        <v>0</v>
      </c>
      <c r="G85" s="462"/>
      <c r="H85" s="462">
        <v>0</v>
      </c>
      <c r="I85" s="462">
        <f t="shared" si="32"/>
        <v>0</v>
      </c>
      <c r="J85" s="793"/>
      <c r="K85" s="788">
        <v>0</v>
      </c>
      <c r="L85" s="788">
        <f t="shared" si="33"/>
        <v>0</v>
      </c>
      <c r="M85" s="463"/>
      <c r="N85" s="463"/>
      <c r="O85" s="463"/>
      <c r="P85" s="463"/>
      <c r="Q85" s="463"/>
      <c r="R85" s="398"/>
    </row>
    <row r="86" spans="2:18" ht="15" customHeight="1" x14ac:dyDescent="0.3">
      <c r="B86" s="568">
        <f t="shared" si="34"/>
        <v>6.3999999999999986</v>
      </c>
      <c r="C86" s="414" t="s">
        <v>31</v>
      </c>
      <c r="D86" s="462"/>
      <c r="E86" s="462">
        <v>0</v>
      </c>
      <c r="F86" s="462">
        <f t="shared" si="31"/>
        <v>0</v>
      </c>
      <c r="G86" s="462"/>
      <c r="H86" s="462">
        <v>0</v>
      </c>
      <c r="I86" s="462">
        <f t="shared" si="32"/>
        <v>0</v>
      </c>
      <c r="J86" s="793"/>
      <c r="K86" s="788">
        <v>0</v>
      </c>
      <c r="L86" s="788">
        <f t="shared" si="33"/>
        <v>0</v>
      </c>
      <c r="M86" s="463"/>
      <c r="N86" s="463"/>
      <c r="O86" s="463"/>
      <c r="P86" s="463"/>
      <c r="Q86" s="463"/>
      <c r="R86" s="398"/>
    </row>
    <row r="87" spans="2:18" ht="15" customHeight="1" x14ac:dyDescent="0.3">
      <c r="B87" s="568">
        <f t="shared" si="34"/>
        <v>6.4999999999999982</v>
      </c>
      <c r="C87" s="414" t="s">
        <v>32</v>
      </c>
      <c r="D87" s="462"/>
      <c r="E87" s="462">
        <f>+E83-E84+E85-E86</f>
        <v>0</v>
      </c>
      <c r="F87" s="462">
        <f t="shared" si="31"/>
        <v>0</v>
      </c>
      <c r="G87" s="462"/>
      <c r="H87" s="462">
        <f>+H83-H84+H85-H86</f>
        <v>0</v>
      </c>
      <c r="I87" s="462">
        <f t="shared" si="32"/>
        <v>0</v>
      </c>
      <c r="J87" s="793"/>
      <c r="K87" s="788">
        <f>+K83-K84+K85-K86</f>
        <v>0</v>
      </c>
      <c r="L87" s="788">
        <f t="shared" si="33"/>
        <v>0</v>
      </c>
      <c r="M87" s="463"/>
      <c r="N87" s="463">
        <f>+M83-M84+M85-M86</f>
        <v>0</v>
      </c>
      <c r="O87" s="463"/>
      <c r="P87" s="463"/>
      <c r="Q87" s="463">
        <f>+O83-O84+O85-O86</f>
        <v>0</v>
      </c>
      <c r="R87" s="398"/>
    </row>
    <row r="88" spans="2:18" ht="15" customHeight="1" x14ac:dyDescent="0.3">
      <c r="B88" s="568">
        <f t="shared" si="34"/>
        <v>6.5999999999999979</v>
      </c>
      <c r="C88" s="414" t="s">
        <v>469</v>
      </c>
      <c r="D88" s="462"/>
      <c r="E88" s="428">
        <f>AVERAGE(E83,E87)</f>
        <v>0</v>
      </c>
      <c r="F88" s="462">
        <f t="shared" si="31"/>
        <v>0</v>
      </c>
      <c r="G88" s="462"/>
      <c r="H88" s="428">
        <f>AVERAGE(H83,H87)</f>
        <v>0</v>
      </c>
      <c r="I88" s="462">
        <f t="shared" si="32"/>
        <v>0</v>
      </c>
      <c r="J88" s="793"/>
      <c r="K88" s="673">
        <f>AVERAGE(K83,K87)</f>
        <v>0</v>
      </c>
      <c r="L88" s="788">
        <f t="shared" si="33"/>
        <v>0</v>
      </c>
      <c r="M88" s="463"/>
      <c r="N88" s="463"/>
      <c r="O88" s="463"/>
      <c r="P88" s="463"/>
      <c r="Q88" s="463"/>
      <c r="R88" s="398"/>
    </row>
    <row r="89" spans="2:18" s="564" customFormat="1" ht="15" customHeight="1" x14ac:dyDescent="0.3">
      <c r="B89" s="572">
        <f t="shared" si="34"/>
        <v>6.6999999999999975</v>
      </c>
      <c r="C89" s="560" t="s">
        <v>33</v>
      </c>
      <c r="D89" s="561"/>
      <c r="E89" s="561">
        <f>IFERROR(E90/E88,0)</f>
        <v>0</v>
      </c>
      <c r="F89" s="561" t="e">
        <f>F90/F88</f>
        <v>#DIV/0!</v>
      </c>
      <c r="G89" s="561"/>
      <c r="H89" s="561">
        <f>IFERROR(H90/H88,0)</f>
        <v>0</v>
      </c>
      <c r="I89" s="561" t="e">
        <f>I90/I88</f>
        <v>#DIV/0!</v>
      </c>
      <c r="J89" s="794"/>
      <c r="K89" s="789">
        <f>IFERROR(K90/K88,0)</f>
        <v>0</v>
      </c>
      <c r="L89" s="789" t="e">
        <f>L90/L88</f>
        <v>#DIV/0!</v>
      </c>
      <c r="M89" s="562"/>
      <c r="N89" s="562" t="e">
        <f>M90/N88</f>
        <v>#DIV/0!</v>
      </c>
      <c r="O89" s="562"/>
      <c r="P89" s="562"/>
      <c r="Q89" s="562" t="e">
        <f>O90/Q88</f>
        <v>#DIV/0!</v>
      </c>
      <c r="R89" s="563"/>
    </row>
    <row r="90" spans="2:18" ht="15" customHeight="1" x14ac:dyDescent="0.3">
      <c r="B90" s="568">
        <f t="shared" si="34"/>
        <v>6.7999999999999972</v>
      </c>
      <c r="C90" s="414" t="s">
        <v>34</v>
      </c>
      <c r="D90" s="462"/>
      <c r="E90" s="462">
        <v>0</v>
      </c>
      <c r="F90" s="462">
        <f t="shared" si="31"/>
        <v>0</v>
      </c>
      <c r="G90" s="462"/>
      <c r="H90" s="462">
        <v>0</v>
      </c>
      <c r="I90" s="462">
        <f t="shared" si="32"/>
        <v>0</v>
      </c>
      <c r="J90" s="793"/>
      <c r="K90" s="788">
        <v>0</v>
      </c>
      <c r="L90" s="788">
        <f t="shared" si="33"/>
        <v>0</v>
      </c>
      <c r="M90" s="463"/>
      <c r="N90" s="463"/>
      <c r="O90" s="463"/>
      <c r="P90" s="463"/>
      <c r="Q90" s="463"/>
      <c r="R90" s="398"/>
    </row>
    <row r="91" spans="2:18" ht="15" customHeight="1" x14ac:dyDescent="0.3">
      <c r="B91" s="570"/>
      <c r="C91" s="415"/>
      <c r="D91" s="462"/>
      <c r="E91" s="462"/>
      <c r="F91" s="462"/>
      <c r="G91" s="462"/>
      <c r="H91" s="462"/>
      <c r="I91" s="462"/>
      <c r="J91" s="793"/>
      <c r="K91" s="788"/>
      <c r="L91" s="788"/>
      <c r="M91" s="463"/>
      <c r="N91" s="463"/>
      <c r="O91" s="463"/>
      <c r="P91" s="463"/>
      <c r="Q91" s="463"/>
      <c r="R91" s="398"/>
    </row>
    <row r="92" spans="2:18" ht="15" customHeight="1" x14ac:dyDescent="0.3">
      <c r="B92" s="570">
        <v>7</v>
      </c>
      <c r="C92" s="415" t="s">
        <v>1655</v>
      </c>
      <c r="D92" s="462"/>
      <c r="E92" s="462"/>
      <c r="F92" s="462"/>
      <c r="G92" s="462"/>
      <c r="H92" s="462"/>
      <c r="I92" s="462"/>
      <c r="J92" s="793"/>
      <c r="K92" s="788"/>
      <c r="L92" s="788"/>
      <c r="M92" s="463"/>
      <c r="N92" s="463"/>
      <c r="O92" s="463"/>
      <c r="P92" s="463"/>
      <c r="Q92" s="463"/>
      <c r="R92" s="398"/>
    </row>
    <row r="93" spans="2:18" ht="15" customHeight="1" x14ac:dyDescent="0.3">
      <c r="B93" s="568">
        <f>B92+0.1</f>
        <v>7.1</v>
      </c>
      <c r="C93" s="414" t="s">
        <v>30</v>
      </c>
      <c r="D93" s="462"/>
      <c r="E93" s="462">
        <v>0</v>
      </c>
      <c r="F93" s="462">
        <f t="shared" ref="F93:F100" si="35">E93-D93</f>
        <v>0</v>
      </c>
      <c r="G93" s="462"/>
      <c r="H93" s="462">
        <v>0</v>
      </c>
      <c r="I93" s="462">
        <f t="shared" ref="I93:I100" si="36">H93-G93</f>
        <v>0</v>
      </c>
      <c r="J93" s="793"/>
      <c r="K93" s="788">
        <v>0</v>
      </c>
      <c r="L93" s="788">
        <f t="shared" ref="L93:L100" si="37">K93-J93</f>
        <v>0</v>
      </c>
      <c r="M93" s="463"/>
      <c r="N93" s="463"/>
      <c r="O93" s="463"/>
      <c r="P93" s="463"/>
      <c r="Q93" s="463"/>
      <c r="R93" s="398"/>
    </row>
    <row r="94" spans="2:18" ht="15" customHeight="1" x14ac:dyDescent="0.3">
      <c r="B94" s="568">
        <f t="shared" ref="B94:B100" si="38">B93+0.1</f>
        <v>7.1999999999999993</v>
      </c>
      <c r="C94" s="414" t="s">
        <v>400</v>
      </c>
      <c r="D94" s="462"/>
      <c r="E94" s="462">
        <v>0</v>
      </c>
      <c r="F94" s="462">
        <f t="shared" si="35"/>
        <v>0</v>
      </c>
      <c r="G94" s="462"/>
      <c r="H94" s="462">
        <v>0</v>
      </c>
      <c r="I94" s="462">
        <f t="shared" si="36"/>
        <v>0</v>
      </c>
      <c r="J94" s="793"/>
      <c r="K94" s="788">
        <v>0</v>
      </c>
      <c r="L94" s="788">
        <f t="shared" si="37"/>
        <v>0</v>
      </c>
      <c r="M94" s="463"/>
      <c r="N94" s="463"/>
      <c r="O94" s="463"/>
      <c r="P94" s="463"/>
      <c r="Q94" s="463"/>
      <c r="R94" s="398"/>
    </row>
    <row r="95" spans="2:18" ht="15" customHeight="1" x14ac:dyDescent="0.3">
      <c r="B95" s="568">
        <f t="shared" si="38"/>
        <v>7.2999999999999989</v>
      </c>
      <c r="C95" s="414" t="s">
        <v>342</v>
      </c>
      <c r="D95" s="462"/>
      <c r="E95" s="462">
        <v>0</v>
      </c>
      <c r="F95" s="462">
        <f t="shared" si="35"/>
        <v>0</v>
      </c>
      <c r="G95" s="462"/>
      <c r="H95" s="462">
        <v>0</v>
      </c>
      <c r="I95" s="462">
        <f t="shared" si="36"/>
        <v>0</v>
      </c>
      <c r="J95" s="793"/>
      <c r="K95" s="788">
        <v>0</v>
      </c>
      <c r="L95" s="788">
        <f t="shared" si="37"/>
        <v>0</v>
      </c>
      <c r="M95" s="463"/>
      <c r="N95" s="463"/>
      <c r="O95" s="463"/>
      <c r="P95" s="463"/>
      <c r="Q95" s="463"/>
      <c r="R95" s="398"/>
    </row>
    <row r="96" spans="2:18" ht="15" customHeight="1" x14ac:dyDescent="0.3">
      <c r="B96" s="568">
        <f t="shared" si="38"/>
        <v>7.3999999999999986</v>
      </c>
      <c r="C96" s="414" t="s">
        <v>31</v>
      </c>
      <c r="D96" s="462"/>
      <c r="E96" s="462">
        <v>0</v>
      </c>
      <c r="F96" s="462">
        <f t="shared" si="35"/>
        <v>0</v>
      </c>
      <c r="G96" s="462"/>
      <c r="H96" s="462">
        <v>0</v>
      </c>
      <c r="I96" s="462">
        <f t="shared" si="36"/>
        <v>0</v>
      </c>
      <c r="J96" s="793"/>
      <c r="K96" s="788">
        <v>0</v>
      </c>
      <c r="L96" s="788">
        <f t="shared" si="37"/>
        <v>0</v>
      </c>
      <c r="M96" s="463"/>
      <c r="N96" s="463"/>
      <c r="O96" s="463"/>
      <c r="P96" s="463"/>
      <c r="Q96" s="463"/>
      <c r="R96" s="398"/>
    </row>
    <row r="97" spans="2:18" ht="15" customHeight="1" x14ac:dyDescent="0.3">
      <c r="B97" s="568">
        <f t="shared" si="38"/>
        <v>7.4999999999999982</v>
      </c>
      <c r="C97" s="414" t="s">
        <v>32</v>
      </c>
      <c r="D97" s="462"/>
      <c r="E97" s="462">
        <f>+E93-E94+E95-E96</f>
        <v>0</v>
      </c>
      <c r="F97" s="462">
        <f t="shared" si="35"/>
        <v>0</v>
      </c>
      <c r="G97" s="462"/>
      <c r="H97" s="462">
        <f>+H93-H94+H95-H96</f>
        <v>0</v>
      </c>
      <c r="I97" s="462">
        <f t="shared" si="36"/>
        <v>0</v>
      </c>
      <c r="J97" s="793"/>
      <c r="K97" s="788">
        <f>+K93-K94+K95-K96</f>
        <v>0</v>
      </c>
      <c r="L97" s="788">
        <f t="shared" si="37"/>
        <v>0</v>
      </c>
      <c r="M97" s="463"/>
      <c r="N97" s="463">
        <f>+M93-M94+M95-M96</f>
        <v>0</v>
      </c>
      <c r="O97" s="463"/>
      <c r="P97" s="463"/>
      <c r="Q97" s="463">
        <f>+O93-O94+O95-O96</f>
        <v>0</v>
      </c>
      <c r="R97" s="398"/>
    </row>
    <row r="98" spans="2:18" ht="15" customHeight="1" x14ac:dyDescent="0.3">
      <c r="B98" s="568">
        <f t="shared" si="38"/>
        <v>7.5999999999999979</v>
      </c>
      <c r="C98" s="414" t="s">
        <v>469</v>
      </c>
      <c r="D98" s="462"/>
      <c r="E98" s="428">
        <f>AVERAGE(E93,E97)</f>
        <v>0</v>
      </c>
      <c r="F98" s="462">
        <f t="shared" si="35"/>
        <v>0</v>
      </c>
      <c r="G98" s="462"/>
      <c r="H98" s="428">
        <f>AVERAGE(H93,H97)</f>
        <v>0</v>
      </c>
      <c r="I98" s="462">
        <f t="shared" si="36"/>
        <v>0</v>
      </c>
      <c r="J98" s="793"/>
      <c r="K98" s="673">
        <f>AVERAGE(K93,K97)</f>
        <v>0</v>
      </c>
      <c r="L98" s="788">
        <f t="shared" si="37"/>
        <v>0</v>
      </c>
      <c r="M98" s="463"/>
      <c r="N98" s="463"/>
      <c r="O98" s="463"/>
      <c r="P98" s="463"/>
      <c r="Q98" s="463"/>
      <c r="R98" s="398"/>
    </row>
    <row r="99" spans="2:18" s="564" customFormat="1" ht="15" customHeight="1" x14ac:dyDescent="0.3">
      <c r="B99" s="572">
        <f t="shared" si="38"/>
        <v>7.6999999999999975</v>
      </c>
      <c r="C99" s="560" t="s">
        <v>33</v>
      </c>
      <c r="D99" s="561"/>
      <c r="E99" s="561">
        <f>IFERROR(E100/E98,0)</f>
        <v>0</v>
      </c>
      <c r="F99" s="561" t="e">
        <f>F100/F98</f>
        <v>#DIV/0!</v>
      </c>
      <c r="G99" s="561"/>
      <c r="H99" s="561">
        <f>IFERROR(H100/H98,0)</f>
        <v>0</v>
      </c>
      <c r="I99" s="561" t="e">
        <f>I100/I98</f>
        <v>#DIV/0!</v>
      </c>
      <c r="J99" s="794"/>
      <c r="K99" s="789">
        <f>IFERROR(K100/K98,0)</f>
        <v>0</v>
      </c>
      <c r="L99" s="789" t="e">
        <f>L100/L98</f>
        <v>#DIV/0!</v>
      </c>
      <c r="M99" s="562"/>
      <c r="N99" s="562" t="e">
        <f>M100/N98</f>
        <v>#DIV/0!</v>
      </c>
      <c r="O99" s="562"/>
      <c r="P99" s="562"/>
      <c r="Q99" s="562" t="e">
        <f>O100/Q98</f>
        <v>#DIV/0!</v>
      </c>
      <c r="R99" s="563"/>
    </row>
    <row r="100" spans="2:18" ht="15" customHeight="1" x14ac:dyDescent="0.3">
      <c r="B100" s="568">
        <f t="shared" si="38"/>
        <v>7.7999999999999972</v>
      </c>
      <c r="C100" s="414" t="s">
        <v>34</v>
      </c>
      <c r="D100" s="462"/>
      <c r="E100" s="462">
        <v>0</v>
      </c>
      <c r="F100" s="462">
        <f t="shared" si="35"/>
        <v>0</v>
      </c>
      <c r="G100" s="462"/>
      <c r="H100" s="462">
        <v>0</v>
      </c>
      <c r="I100" s="462">
        <f t="shared" si="36"/>
        <v>0</v>
      </c>
      <c r="J100" s="793"/>
      <c r="K100" s="788">
        <v>0</v>
      </c>
      <c r="L100" s="788">
        <f t="shared" si="37"/>
        <v>0</v>
      </c>
      <c r="M100" s="463"/>
      <c r="N100" s="463"/>
      <c r="O100" s="463"/>
      <c r="P100" s="463"/>
      <c r="Q100" s="463"/>
      <c r="R100" s="398"/>
    </row>
    <row r="101" spans="2:18" ht="15" customHeight="1" x14ac:dyDescent="0.3">
      <c r="B101" s="570"/>
      <c r="C101" s="415"/>
      <c r="D101" s="462"/>
      <c r="E101" s="462"/>
      <c r="F101" s="462"/>
      <c r="G101" s="462"/>
      <c r="H101" s="462"/>
      <c r="I101" s="462"/>
      <c r="J101" s="793"/>
      <c r="K101" s="788"/>
      <c r="L101" s="788"/>
      <c r="M101" s="463"/>
      <c r="N101" s="463"/>
      <c r="O101" s="463"/>
      <c r="P101" s="463"/>
      <c r="Q101" s="463"/>
      <c r="R101" s="398"/>
    </row>
    <row r="102" spans="2:18" ht="15" customHeight="1" x14ac:dyDescent="0.3">
      <c r="B102" s="570">
        <v>8</v>
      </c>
      <c r="C102" s="415" t="s">
        <v>1656</v>
      </c>
      <c r="D102" s="462"/>
      <c r="E102" s="462"/>
      <c r="F102" s="462"/>
      <c r="G102" s="462"/>
      <c r="H102" s="462"/>
      <c r="I102" s="462"/>
      <c r="J102" s="793"/>
      <c r="K102" s="788"/>
      <c r="L102" s="788"/>
      <c r="M102" s="463"/>
      <c r="N102" s="463"/>
      <c r="O102" s="463"/>
      <c r="P102" s="463"/>
      <c r="Q102" s="463"/>
      <c r="R102" s="398"/>
    </row>
    <row r="103" spans="2:18" ht="15" customHeight="1" x14ac:dyDescent="0.3">
      <c r="B103" s="568">
        <f>B102+0.1</f>
        <v>8.1</v>
      </c>
      <c r="C103" s="414" t="s">
        <v>30</v>
      </c>
      <c r="D103" s="462"/>
      <c r="E103" s="462">
        <v>0</v>
      </c>
      <c r="F103" s="462">
        <f t="shared" ref="F103:F110" si="39">E103-D103</f>
        <v>0</v>
      </c>
      <c r="G103" s="462"/>
      <c r="H103" s="462">
        <v>0</v>
      </c>
      <c r="I103" s="462">
        <f t="shared" ref="I103:I110" si="40">H103-G103</f>
        <v>0</v>
      </c>
      <c r="J103" s="793"/>
      <c r="K103" s="788">
        <v>0</v>
      </c>
      <c r="L103" s="788">
        <f t="shared" ref="L103:L110" si="41">K103-J103</f>
        <v>0</v>
      </c>
      <c r="M103" s="463"/>
      <c r="N103" s="463"/>
      <c r="O103" s="463"/>
      <c r="P103" s="463"/>
      <c r="Q103" s="463"/>
      <c r="R103" s="398"/>
    </row>
    <row r="104" spans="2:18" ht="15" customHeight="1" x14ac:dyDescent="0.3">
      <c r="B104" s="568">
        <f t="shared" ref="B104:B110" si="42">B103+0.1</f>
        <v>8.1999999999999993</v>
      </c>
      <c r="C104" s="414" t="s">
        <v>400</v>
      </c>
      <c r="D104" s="462"/>
      <c r="E104" s="462">
        <v>0</v>
      </c>
      <c r="F104" s="462">
        <f t="shared" si="39"/>
        <v>0</v>
      </c>
      <c r="G104" s="462"/>
      <c r="H104" s="462">
        <v>0</v>
      </c>
      <c r="I104" s="462">
        <f t="shared" si="40"/>
        <v>0</v>
      </c>
      <c r="J104" s="793"/>
      <c r="K104" s="788">
        <v>0</v>
      </c>
      <c r="L104" s="788">
        <f t="shared" si="41"/>
        <v>0</v>
      </c>
      <c r="M104" s="463"/>
      <c r="N104" s="463"/>
      <c r="O104" s="463"/>
      <c r="P104" s="463"/>
      <c r="Q104" s="463"/>
      <c r="R104" s="398"/>
    </row>
    <row r="105" spans="2:18" ht="15" customHeight="1" x14ac:dyDescent="0.3">
      <c r="B105" s="568">
        <f t="shared" si="42"/>
        <v>8.2999999999999989</v>
      </c>
      <c r="C105" s="414" t="s">
        <v>342</v>
      </c>
      <c r="D105" s="462"/>
      <c r="E105" s="462">
        <v>0</v>
      </c>
      <c r="F105" s="462">
        <f t="shared" si="39"/>
        <v>0</v>
      </c>
      <c r="G105" s="462"/>
      <c r="H105" s="462">
        <v>0</v>
      </c>
      <c r="I105" s="462">
        <f t="shared" si="40"/>
        <v>0</v>
      </c>
      <c r="J105" s="793"/>
      <c r="K105" s="788">
        <v>0</v>
      </c>
      <c r="L105" s="788">
        <f t="shared" si="41"/>
        <v>0</v>
      </c>
      <c r="M105" s="463"/>
      <c r="N105" s="463"/>
      <c r="O105" s="463"/>
      <c r="P105" s="463"/>
      <c r="Q105" s="463"/>
      <c r="R105" s="398"/>
    </row>
    <row r="106" spans="2:18" ht="15" customHeight="1" x14ac:dyDescent="0.3">
      <c r="B106" s="568">
        <f t="shared" si="42"/>
        <v>8.3999999999999986</v>
      </c>
      <c r="C106" s="414" t="s">
        <v>31</v>
      </c>
      <c r="D106" s="462"/>
      <c r="E106" s="462">
        <v>0</v>
      </c>
      <c r="F106" s="462">
        <f t="shared" si="39"/>
        <v>0</v>
      </c>
      <c r="G106" s="462"/>
      <c r="H106" s="462">
        <v>0</v>
      </c>
      <c r="I106" s="462">
        <f t="shared" si="40"/>
        <v>0</v>
      </c>
      <c r="J106" s="793"/>
      <c r="K106" s="788">
        <v>0</v>
      </c>
      <c r="L106" s="788">
        <f t="shared" si="41"/>
        <v>0</v>
      </c>
      <c r="M106" s="463"/>
      <c r="N106" s="463"/>
      <c r="O106" s="463"/>
      <c r="P106" s="463"/>
      <c r="Q106" s="463"/>
      <c r="R106" s="398"/>
    </row>
    <row r="107" spans="2:18" ht="15" customHeight="1" x14ac:dyDescent="0.3">
      <c r="B107" s="568">
        <f t="shared" si="42"/>
        <v>8.4999999999999982</v>
      </c>
      <c r="C107" s="414" t="s">
        <v>32</v>
      </c>
      <c r="D107" s="462"/>
      <c r="E107" s="462">
        <f>+E103-E104+E105-E106</f>
        <v>0</v>
      </c>
      <c r="F107" s="462">
        <f t="shared" si="39"/>
        <v>0</v>
      </c>
      <c r="G107" s="462"/>
      <c r="H107" s="462">
        <f>+H103-H104+H105-H106</f>
        <v>0</v>
      </c>
      <c r="I107" s="462">
        <f t="shared" si="40"/>
        <v>0</v>
      </c>
      <c r="J107" s="793"/>
      <c r="K107" s="788">
        <f>+K103-K104+K105-K106</f>
        <v>0</v>
      </c>
      <c r="L107" s="788">
        <f t="shared" si="41"/>
        <v>0</v>
      </c>
      <c r="M107" s="463"/>
      <c r="N107" s="463">
        <f>+M103-M104+M105-M106</f>
        <v>0</v>
      </c>
      <c r="O107" s="463"/>
      <c r="P107" s="463"/>
      <c r="Q107" s="463">
        <f>+O103-O104+O105-O106</f>
        <v>0</v>
      </c>
      <c r="R107" s="398"/>
    </row>
    <row r="108" spans="2:18" ht="15" customHeight="1" x14ac:dyDescent="0.3">
      <c r="B108" s="568">
        <f t="shared" si="42"/>
        <v>8.5999999999999979</v>
      </c>
      <c r="C108" s="414" t="s">
        <v>469</v>
      </c>
      <c r="D108" s="462"/>
      <c r="E108" s="428">
        <f>AVERAGE(E103,E107)</f>
        <v>0</v>
      </c>
      <c r="F108" s="462">
        <f t="shared" si="39"/>
        <v>0</v>
      </c>
      <c r="G108" s="462"/>
      <c r="H108" s="428">
        <f>AVERAGE(H103,H107)</f>
        <v>0</v>
      </c>
      <c r="I108" s="462">
        <f t="shared" si="40"/>
        <v>0</v>
      </c>
      <c r="J108" s="793"/>
      <c r="K108" s="673">
        <f>AVERAGE(K103,K107)</f>
        <v>0</v>
      </c>
      <c r="L108" s="788">
        <f t="shared" si="41"/>
        <v>0</v>
      </c>
      <c r="M108" s="463"/>
      <c r="N108" s="463"/>
      <c r="O108" s="463"/>
      <c r="P108" s="463"/>
      <c r="Q108" s="463"/>
      <c r="R108" s="398"/>
    </row>
    <row r="109" spans="2:18" s="564" customFormat="1" ht="15" customHeight="1" x14ac:dyDescent="0.3">
      <c r="B109" s="572">
        <f t="shared" si="42"/>
        <v>8.6999999999999975</v>
      </c>
      <c r="C109" s="560" t="s">
        <v>33</v>
      </c>
      <c r="D109" s="561"/>
      <c r="E109" s="561">
        <f>IFERROR(E110/E108,0)</f>
        <v>0</v>
      </c>
      <c r="F109" s="561" t="e">
        <f>F110/F108</f>
        <v>#DIV/0!</v>
      </c>
      <c r="G109" s="561"/>
      <c r="H109" s="561">
        <f>IFERROR(H110/H108,0)</f>
        <v>0</v>
      </c>
      <c r="I109" s="561" t="e">
        <f>I110/I108</f>
        <v>#DIV/0!</v>
      </c>
      <c r="J109" s="794"/>
      <c r="K109" s="789">
        <f>IFERROR(K110/K108,0)</f>
        <v>0</v>
      </c>
      <c r="L109" s="789" t="e">
        <f>L110/L108</f>
        <v>#DIV/0!</v>
      </c>
      <c r="M109" s="562"/>
      <c r="N109" s="562" t="e">
        <f>M110/N108</f>
        <v>#DIV/0!</v>
      </c>
      <c r="O109" s="562"/>
      <c r="P109" s="562"/>
      <c r="Q109" s="562" t="e">
        <f>O110/Q108</f>
        <v>#DIV/0!</v>
      </c>
      <c r="R109" s="563"/>
    </row>
    <row r="110" spans="2:18" ht="15" customHeight="1" x14ac:dyDescent="0.3">
      <c r="B110" s="568">
        <f t="shared" si="42"/>
        <v>8.7999999999999972</v>
      </c>
      <c r="C110" s="414" t="s">
        <v>34</v>
      </c>
      <c r="D110" s="462"/>
      <c r="E110" s="462">
        <v>0</v>
      </c>
      <c r="F110" s="462">
        <f t="shared" si="39"/>
        <v>0</v>
      </c>
      <c r="G110" s="462"/>
      <c r="H110" s="462">
        <v>0</v>
      </c>
      <c r="I110" s="462">
        <f t="shared" si="40"/>
        <v>0</v>
      </c>
      <c r="J110" s="793"/>
      <c r="K110" s="788">
        <v>0</v>
      </c>
      <c r="L110" s="788">
        <f t="shared" si="41"/>
        <v>0</v>
      </c>
      <c r="M110" s="463"/>
      <c r="N110" s="463"/>
      <c r="O110" s="463"/>
      <c r="P110" s="463"/>
      <c r="Q110" s="463"/>
      <c r="R110" s="398"/>
    </row>
    <row r="111" spans="2:18" ht="15" customHeight="1" x14ac:dyDescent="0.3">
      <c r="B111" s="568"/>
      <c r="C111" s="414" t="s">
        <v>25</v>
      </c>
      <c r="D111" s="464"/>
      <c r="E111" s="464"/>
      <c r="F111" s="464"/>
      <c r="G111" s="464"/>
      <c r="H111" s="464"/>
      <c r="I111" s="464"/>
      <c r="J111" s="790"/>
      <c r="K111" s="790"/>
      <c r="L111" s="790"/>
      <c r="M111" s="464"/>
      <c r="N111" s="464"/>
      <c r="O111" s="464"/>
      <c r="P111" s="464"/>
      <c r="Q111" s="464"/>
      <c r="R111" s="398"/>
    </row>
    <row r="112" spans="2:18" ht="15" customHeight="1" x14ac:dyDescent="0.3">
      <c r="B112" s="568"/>
      <c r="C112" s="414" t="s">
        <v>25</v>
      </c>
      <c r="D112" s="464"/>
      <c r="E112" s="464"/>
      <c r="F112" s="464"/>
      <c r="G112" s="464"/>
      <c r="H112" s="464"/>
      <c r="I112" s="464"/>
      <c r="J112" s="790"/>
      <c r="K112" s="790"/>
      <c r="L112" s="790"/>
      <c r="M112" s="464"/>
      <c r="N112" s="464"/>
      <c r="O112" s="464"/>
      <c r="P112" s="464"/>
      <c r="Q112" s="464"/>
      <c r="R112" s="398"/>
    </row>
    <row r="113" spans="2:18" ht="15" customHeight="1" x14ac:dyDescent="0.3">
      <c r="B113" s="568"/>
      <c r="C113" s="414" t="s">
        <v>25</v>
      </c>
      <c r="D113" s="464"/>
      <c r="E113" s="464"/>
      <c r="F113" s="464"/>
      <c r="G113" s="464"/>
      <c r="H113" s="464"/>
      <c r="I113" s="464"/>
      <c r="J113" s="790"/>
      <c r="K113" s="790"/>
      <c r="L113" s="790"/>
      <c r="M113" s="464"/>
      <c r="N113" s="464"/>
      <c r="O113" s="464"/>
      <c r="P113" s="464"/>
      <c r="Q113" s="464"/>
      <c r="R113" s="398"/>
    </row>
    <row r="114" spans="2:18" ht="15" customHeight="1" x14ac:dyDescent="0.3">
      <c r="B114" s="568"/>
      <c r="C114" s="414"/>
      <c r="D114" s="464"/>
      <c r="E114" s="464"/>
      <c r="F114" s="464"/>
      <c r="G114" s="464"/>
      <c r="H114" s="464"/>
      <c r="I114" s="464"/>
      <c r="J114" s="790"/>
      <c r="K114" s="790"/>
      <c r="L114" s="790"/>
      <c r="M114" s="464"/>
      <c r="N114" s="464"/>
      <c r="O114" s="464"/>
      <c r="P114" s="464"/>
      <c r="Q114" s="464"/>
      <c r="R114" s="398"/>
    </row>
    <row r="115" spans="2:18" ht="15" customHeight="1" x14ac:dyDescent="0.3">
      <c r="B115" s="570">
        <v>9</v>
      </c>
      <c r="C115" s="415" t="s">
        <v>271</v>
      </c>
      <c r="D115" s="464"/>
      <c r="E115" s="464"/>
      <c r="F115" s="464"/>
      <c r="G115" s="464"/>
      <c r="H115" s="464"/>
      <c r="I115" s="464"/>
      <c r="J115" s="790"/>
      <c r="K115" s="790"/>
      <c r="L115" s="790"/>
      <c r="M115" s="464"/>
      <c r="N115" s="464"/>
      <c r="O115" s="464"/>
      <c r="P115" s="464"/>
      <c r="Q115" s="464"/>
      <c r="R115" s="398"/>
    </row>
    <row r="116" spans="2:18" ht="15" customHeight="1" x14ac:dyDescent="0.3">
      <c r="B116" s="568">
        <f t="shared" ref="B116:B123" si="43">B115+0.1</f>
        <v>9.1</v>
      </c>
      <c r="C116" s="414" t="s">
        <v>30</v>
      </c>
      <c r="D116" s="464"/>
      <c r="E116" s="464">
        <f t="shared" ref="E116:E123" si="44">E33+E43+E53+E63+E73+E83+E93+E103</f>
        <v>6.3659288089352559</v>
      </c>
      <c r="F116" s="464"/>
      <c r="G116" s="464"/>
      <c r="H116" s="464">
        <f t="shared" ref="H116:H123" si="45">H33+H43+H53+H63+H73+H83+H93+H103</f>
        <v>5.589281637271597</v>
      </c>
      <c r="I116" s="464"/>
      <c r="J116" s="790"/>
      <c r="K116" s="790">
        <f>K33+K43+K53+K63+K73+K83+K93+K103</f>
        <v>0</v>
      </c>
      <c r="L116" s="790"/>
      <c r="M116" s="464"/>
      <c r="N116" s="464">
        <f t="shared" ref="N116:N123" si="46">N33+N43+N53+N63+N73+N83+N93+N103</f>
        <v>0</v>
      </c>
      <c r="O116" s="464"/>
      <c r="P116" s="464"/>
      <c r="Q116" s="464">
        <f t="shared" ref="Q116:Q123" si="47">Q33+Q43+Q53+Q63+Q73+Q83+Q93+Q103</f>
        <v>0</v>
      </c>
      <c r="R116" s="398"/>
    </row>
    <row r="117" spans="2:18" ht="15" customHeight="1" x14ac:dyDescent="0.3">
      <c r="B117" s="568">
        <f t="shared" si="43"/>
        <v>9.1999999999999993</v>
      </c>
      <c r="C117" s="414" t="s">
        <v>400</v>
      </c>
      <c r="D117" s="464"/>
      <c r="E117" s="464">
        <f t="shared" si="44"/>
        <v>0</v>
      </c>
      <c r="F117" s="464"/>
      <c r="G117" s="464"/>
      <c r="H117" s="464">
        <f t="shared" si="45"/>
        <v>0</v>
      </c>
      <c r="I117" s="464"/>
      <c r="J117" s="790"/>
      <c r="K117" s="790">
        <f t="shared" ref="K117:K123" si="48">K34+K44+K54+K64+K74+K84+K94+K104</f>
        <v>0</v>
      </c>
      <c r="L117" s="790"/>
      <c r="M117" s="464"/>
      <c r="N117" s="464">
        <f t="shared" si="46"/>
        <v>0</v>
      </c>
      <c r="O117" s="464"/>
      <c r="P117" s="464"/>
      <c r="Q117" s="464">
        <f t="shared" si="47"/>
        <v>0</v>
      </c>
      <c r="R117" s="398"/>
    </row>
    <row r="118" spans="2:18" ht="15" customHeight="1" x14ac:dyDescent="0.3">
      <c r="B118" s="568">
        <f t="shared" si="43"/>
        <v>9.2999999999999989</v>
      </c>
      <c r="C118" s="414" t="s">
        <v>342</v>
      </c>
      <c r="D118" s="464"/>
      <c r="E118" s="464">
        <f t="shared" si="44"/>
        <v>5.9225644366197192E-2</v>
      </c>
      <c r="F118" s="464"/>
      <c r="G118" s="464"/>
      <c r="H118" s="464">
        <f t="shared" si="45"/>
        <v>0.5546718951521985</v>
      </c>
      <c r="I118" s="464"/>
      <c r="J118" s="790"/>
      <c r="K118" s="790">
        <f t="shared" si="48"/>
        <v>0</v>
      </c>
      <c r="L118" s="790"/>
      <c r="M118" s="464"/>
      <c r="N118" s="464">
        <f t="shared" si="46"/>
        <v>0</v>
      </c>
      <c r="O118" s="464"/>
      <c r="P118" s="464"/>
      <c r="Q118" s="464">
        <f t="shared" si="47"/>
        <v>0</v>
      </c>
      <c r="R118" s="398"/>
    </row>
    <row r="119" spans="2:18" ht="15" customHeight="1" x14ac:dyDescent="0.3">
      <c r="B119" s="568">
        <f t="shared" si="43"/>
        <v>9.3999999999999986</v>
      </c>
      <c r="C119" s="414" t="s">
        <v>31</v>
      </c>
      <c r="D119" s="464"/>
      <c r="E119" s="464">
        <f t="shared" si="44"/>
        <v>0.74463392799735051</v>
      </c>
      <c r="F119" s="464"/>
      <c r="G119" s="464"/>
      <c r="H119" s="464">
        <f t="shared" si="45"/>
        <v>0.71309452301461362</v>
      </c>
      <c r="I119" s="464"/>
      <c r="J119" s="790"/>
      <c r="K119" s="790">
        <f t="shared" si="48"/>
        <v>0</v>
      </c>
      <c r="L119" s="790"/>
      <c r="M119" s="464"/>
      <c r="N119" s="464">
        <f t="shared" si="46"/>
        <v>0</v>
      </c>
      <c r="O119" s="464"/>
      <c r="P119" s="464"/>
      <c r="Q119" s="464">
        <f t="shared" si="47"/>
        <v>0</v>
      </c>
      <c r="R119" s="398"/>
    </row>
    <row r="120" spans="2:18" ht="15" customHeight="1" x14ac:dyDescent="0.3">
      <c r="B120" s="568">
        <f t="shared" si="43"/>
        <v>9.4999999999999982</v>
      </c>
      <c r="C120" s="414" t="s">
        <v>32</v>
      </c>
      <c r="D120" s="464"/>
      <c r="E120" s="464">
        <f t="shared" si="44"/>
        <v>5.6805205253041029</v>
      </c>
      <c r="F120" s="464"/>
      <c r="G120" s="464"/>
      <c r="H120" s="464">
        <f t="shared" si="45"/>
        <v>5.4308590094091818</v>
      </c>
      <c r="I120" s="464"/>
      <c r="J120" s="790"/>
      <c r="K120" s="790">
        <f t="shared" si="48"/>
        <v>0</v>
      </c>
      <c r="L120" s="790"/>
      <c r="M120" s="464"/>
      <c r="N120" s="464">
        <f t="shared" si="46"/>
        <v>0</v>
      </c>
      <c r="O120" s="464"/>
      <c r="P120" s="464"/>
      <c r="Q120" s="464">
        <f t="shared" si="47"/>
        <v>0</v>
      </c>
      <c r="R120" s="398"/>
    </row>
    <row r="121" spans="2:18" ht="15" customHeight="1" x14ac:dyDescent="0.3">
      <c r="B121" s="568">
        <f t="shared" si="43"/>
        <v>9.5999999999999979</v>
      </c>
      <c r="C121" s="414" t="s">
        <v>469</v>
      </c>
      <c r="D121" s="464"/>
      <c r="E121" s="464">
        <f t="shared" si="44"/>
        <v>6.0232246671196794</v>
      </c>
      <c r="F121" s="464"/>
      <c r="G121" s="464"/>
      <c r="H121" s="464">
        <f t="shared" si="45"/>
        <v>5.5100703233403889</v>
      </c>
      <c r="I121" s="464"/>
      <c r="J121" s="790"/>
      <c r="K121" s="790">
        <f t="shared" si="48"/>
        <v>0</v>
      </c>
      <c r="L121" s="790"/>
      <c r="M121" s="464"/>
      <c r="N121" s="464">
        <f t="shared" si="46"/>
        <v>0</v>
      </c>
      <c r="O121" s="464"/>
      <c r="P121" s="464"/>
      <c r="Q121" s="464">
        <f t="shared" si="47"/>
        <v>0</v>
      </c>
      <c r="R121" s="398"/>
    </row>
    <row r="122" spans="2:18" s="564" customFormat="1" ht="15" customHeight="1" x14ac:dyDescent="0.3">
      <c r="B122" s="572">
        <f t="shared" si="43"/>
        <v>9.6999999999999975</v>
      </c>
      <c r="C122" s="742" t="s">
        <v>33</v>
      </c>
      <c r="D122" s="743"/>
      <c r="E122" s="561">
        <f>IFERROR(E123/E121,0)</f>
        <v>0.10747591311448319</v>
      </c>
      <c r="F122" s="563"/>
      <c r="G122" s="563"/>
      <c r="H122" s="563">
        <f t="shared" si="45"/>
        <v>0.19450653160008652</v>
      </c>
      <c r="I122" s="563"/>
      <c r="J122" s="791"/>
      <c r="K122" s="791">
        <f t="shared" si="48"/>
        <v>0</v>
      </c>
      <c r="L122" s="791"/>
      <c r="M122" s="563"/>
      <c r="N122" s="563" t="e">
        <f t="shared" si="46"/>
        <v>#DIV/0!</v>
      </c>
      <c r="O122" s="563"/>
      <c r="P122" s="563"/>
      <c r="Q122" s="563" t="e">
        <f t="shared" si="47"/>
        <v>#DIV/0!</v>
      </c>
      <c r="R122" s="563"/>
    </row>
    <row r="123" spans="2:18" ht="15" customHeight="1" x14ac:dyDescent="0.3">
      <c r="B123" s="568">
        <f t="shared" si="43"/>
        <v>9.7999999999999972</v>
      </c>
      <c r="C123" s="414" t="s">
        <v>34</v>
      </c>
      <c r="D123" s="464"/>
      <c r="E123" s="464">
        <f t="shared" si="44"/>
        <v>0.64735157099236662</v>
      </c>
      <c r="F123" s="464"/>
      <c r="G123" s="464"/>
      <c r="H123" s="464">
        <f t="shared" si="45"/>
        <v>0.58879706271746546</v>
      </c>
      <c r="I123" s="464"/>
      <c r="J123" s="790"/>
      <c r="K123" s="790">
        <f t="shared" si="48"/>
        <v>0</v>
      </c>
      <c r="L123" s="790"/>
      <c r="M123" s="464"/>
      <c r="N123" s="464">
        <f t="shared" si="46"/>
        <v>0</v>
      </c>
      <c r="O123" s="464"/>
      <c r="P123" s="464"/>
      <c r="Q123" s="464">
        <f t="shared" si="47"/>
        <v>0</v>
      </c>
      <c r="R123" s="398"/>
    </row>
    <row r="124" spans="2:18" ht="15" customHeight="1" x14ac:dyDescent="0.3">
      <c r="B124" s="568"/>
      <c r="C124" s="414"/>
      <c r="D124" s="464"/>
      <c r="E124" s="323"/>
      <c r="F124" s="464"/>
      <c r="G124" s="464"/>
      <c r="H124" s="464"/>
      <c r="I124" s="464"/>
      <c r="J124" s="790"/>
      <c r="K124" s="790"/>
      <c r="L124" s="790"/>
      <c r="M124" s="464"/>
      <c r="N124" s="464"/>
      <c r="O124" s="464"/>
      <c r="P124" s="464"/>
      <c r="Q124" s="464"/>
      <c r="R124" s="398"/>
    </row>
    <row r="125" spans="2:18" ht="15" customHeight="1" x14ac:dyDescent="0.3">
      <c r="B125" s="568"/>
      <c r="C125" s="414"/>
      <c r="D125" s="464"/>
      <c r="E125" s="464"/>
      <c r="F125" s="464"/>
      <c r="G125" s="464"/>
      <c r="H125" s="464"/>
      <c r="I125" s="464"/>
      <c r="J125" s="790"/>
      <c r="K125" s="790"/>
      <c r="L125" s="790"/>
      <c r="M125" s="464"/>
      <c r="N125" s="464"/>
      <c r="O125" s="464"/>
      <c r="P125" s="464"/>
      <c r="Q125" s="464"/>
      <c r="R125" s="398"/>
    </row>
    <row r="126" spans="2:18" s="22" customFormat="1" ht="15" customHeight="1" x14ac:dyDescent="0.3">
      <c r="B126" s="570">
        <v>10</v>
      </c>
      <c r="C126" s="415" t="s">
        <v>35</v>
      </c>
      <c r="D126" s="465"/>
      <c r="E126" s="465">
        <f>E123</f>
        <v>0.64735157099236662</v>
      </c>
      <c r="F126" s="465"/>
      <c r="G126" s="465"/>
      <c r="H126" s="465">
        <f>H123</f>
        <v>0.58879706271746546</v>
      </c>
      <c r="I126" s="465"/>
      <c r="J126" s="795"/>
      <c r="K126" s="795">
        <f>K123</f>
        <v>0</v>
      </c>
      <c r="L126" s="795"/>
      <c r="M126" s="465"/>
      <c r="N126" s="465">
        <f>N123</f>
        <v>0</v>
      </c>
      <c r="O126" s="465"/>
      <c r="P126" s="465"/>
      <c r="Q126" s="465">
        <f>Q123</f>
        <v>0</v>
      </c>
      <c r="R126" s="410"/>
    </row>
    <row r="127" spans="2:18" ht="15" customHeight="1" x14ac:dyDescent="0.3">
      <c r="B127" s="568">
        <v>11</v>
      </c>
      <c r="C127" s="416" t="s">
        <v>36</v>
      </c>
      <c r="D127" s="464"/>
      <c r="E127" s="464"/>
      <c r="F127" s="464"/>
      <c r="G127" s="464"/>
      <c r="H127" s="464"/>
      <c r="I127" s="464"/>
      <c r="J127" s="790"/>
      <c r="K127" s="790"/>
      <c r="L127" s="790"/>
      <c r="M127" s="464"/>
      <c r="N127" s="464"/>
      <c r="O127" s="464"/>
      <c r="P127" s="464"/>
      <c r="Q127" s="464"/>
      <c r="R127" s="398"/>
    </row>
    <row r="128" spans="2:18" s="311" customFormat="1" ht="15" customHeight="1" x14ac:dyDescent="0.25">
      <c r="B128" s="573">
        <v>12</v>
      </c>
      <c r="C128" s="417" t="s">
        <v>37</v>
      </c>
      <c r="D128" s="464"/>
      <c r="E128" s="464">
        <f>E126-E127</f>
        <v>0.64735157099236662</v>
      </c>
      <c r="F128" s="464"/>
      <c r="G128" s="464"/>
      <c r="H128" s="464">
        <f>H126-H127</f>
        <v>0.58879706271746546</v>
      </c>
      <c r="I128" s="464"/>
      <c r="J128" s="790"/>
      <c r="K128" s="790">
        <f>K126-K127</f>
        <v>0</v>
      </c>
      <c r="L128" s="790"/>
      <c r="M128" s="464"/>
      <c r="N128" s="464">
        <f>N126-N127</f>
        <v>0</v>
      </c>
      <c r="O128" s="464"/>
      <c r="P128" s="464"/>
      <c r="Q128" s="464">
        <f>Q126-Q127</f>
        <v>0</v>
      </c>
      <c r="R128" s="398"/>
    </row>
    <row r="129" spans="2:18" ht="15" customHeight="1" x14ac:dyDescent="0.25">
      <c r="B129" s="568"/>
      <c r="C129" s="418"/>
      <c r="D129" s="464"/>
      <c r="E129" s="464"/>
      <c r="F129" s="464"/>
      <c r="G129" s="464"/>
      <c r="H129" s="464"/>
      <c r="I129" s="464"/>
      <c r="J129" s="790"/>
      <c r="K129" s="790"/>
      <c r="L129" s="790"/>
      <c r="M129" s="464"/>
      <c r="N129" s="464"/>
      <c r="O129" s="464"/>
      <c r="P129" s="464"/>
      <c r="Q129" s="464"/>
      <c r="R129" s="398"/>
    </row>
    <row r="130" spans="2:18" x14ac:dyDescent="0.25">
      <c r="B130" s="574"/>
      <c r="C130" s="419"/>
      <c r="D130" s="419"/>
      <c r="E130" s="419"/>
      <c r="F130" s="419"/>
      <c r="G130" s="419"/>
      <c r="H130" s="420"/>
      <c r="I130" s="420"/>
      <c r="J130" s="209"/>
      <c r="L130" s="209"/>
      <c r="M130" s="209"/>
      <c r="N130" s="23"/>
      <c r="O130" s="23"/>
      <c r="P130" s="23"/>
      <c r="Q130" s="23"/>
    </row>
    <row r="131" spans="2:18" x14ac:dyDescent="0.25">
      <c r="B131" s="574"/>
      <c r="C131" s="1781" t="s">
        <v>145</v>
      </c>
      <c r="D131" s="1781"/>
      <c r="E131" s="1781"/>
      <c r="F131" s="1781"/>
      <c r="G131" s="1781"/>
      <c r="H131" s="420"/>
      <c r="I131" s="420"/>
      <c r="J131" s="209"/>
      <c r="L131" s="209"/>
      <c r="M131" s="209"/>
      <c r="N131" s="23"/>
      <c r="O131" s="23"/>
      <c r="P131" s="23"/>
      <c r="Q131" s="23"/>
    </row>
    <row r="132" spans="2:18" x14ac:dyDescent="0.25">
      <c r="C132" s="412" t="s">
        <v>486</v>
      </c>
    </row>
    <row r="134" spans="2:18" ht="17.5" x14ac:dyDescent="0.25">
      <c r="C134" s="653" t="s">
        <v>819</v>
      </c>
      <c r="D134" s="421"/>
      <c r="E134" s="421"/>
      <c r="F134" s="421"/>
      <c r="G134" s="421"/>
    </row>
    <row r="135" spans="2:18" x14ac:dyDescent="0.25">
      <c r="O135" s="21"/>
      <c r="P135" s="21"/>
      <c r="Q135" s="21" t="s">
        <v>10</v>
      </c>
    </row>
    <row r="136" spans="2:18" ht="15" customHeight="1" x14ac:dyDescent="0.25">
      <c r="B136" s="1773" t="s">
        <v>343</v>
      </c>
      <c r="C136" s="1780" t="s">
        <v>27</v>
      </c>
      <c r="D136" s="1740" t="s">
        <v>505</v>
      </c>
      <c r="E136" s="1741"/>
      <c r="F136" s="1742"/>
      <c r="G136" s="1740" t="s">
        <v>506</v>
      </c>
      <c r="H136" s="1741"/>
      <c r="I136" s="1742"/>
      <c r="J136" s="1740" t="s">
        <v>507</v>
      </c>
      <c r="K136" s="1741"/>
      <c r="L136" s="1742"/>
      <c r="M136" s="1630" t="s">
        <v>1066</v>
      </c>
      <c r="N136" s="1630"/>
      <c r="O136" s="1630"/>
      <c r="P136" s="1630"/>
      <c r="Q136" s="1630"/>
      <c r="R136" s="1609" t="s">
        <v>28</v>
      </c>
    </row>
    <row r="137" spans="2:18" ht="28" x14ac:dyDescent="0.25">
      <c r="B137" s="1773"/>
      <c r="C137" s="1780"/>
      <c r="D137" s="422" t="s">
        <v>448</v>
      </c>
      <c r="E137" s="423" t="s">
        <v>80</v>
      </c>
      <c r="F137" s="423" t="s">
        <v>449</v>
      </c>
      <c r="G137" s="422" t="s">
        <v>448</v>
      </c>
      <c r="H137" s="423" t="s">
        <v>80</v>
      </c>
      <c r="I137" s="423" t="s">
        <v>449</v>
      </c>
      <c r="J137" s="394" t="s">
        <v>448</v>
      </c>
      <c r="K137" s="394" t="s">
        <v>81</v>
      </c>
      <c r="L137" s="394" t="s">
        <v>450</v>
      </c>
      <c r="M137" s="734" t="s">
        <v>1067</v>
      </c>
      <c r="N137" s="734" t="s">
        <v>1068</v>
      </c>
      <c r="O137" s="734" t="s">
        <v>1069</v>
      </c>
      <c r="P137" s="734" t="s">
        <v>1070</v>
      </c>
      <c r="Q137" s="734" t="s">
        <v>1071</v>
      </c>
      <c r="R137" s="1609"/>
    </row>
    <row r="138" spans="2:18" x14ac:dyDescent="0.25">
      <c r="B138" s="571"/>
      <c r="C138" s="424"/>
      <c r="D138" s="423" t="s">
        <v>82</v>
      </c>
      <c r="E138" s="423" t="s">
        <v>83</v>
      </c>
      <c r="F138" s="423" t="s">
        <v>675</v>
      </c>
      <c r="G138" s="423" t="s">
        <v>391</v>
      </c>
      <c r="H138" s="423" t="s">
        <v>409</v>
      </c>
      <c r="I138" s="423" t="s">
        <v>454</v>
      </c>
      <c r="J138" s="735" t="s">
        <v>410</v>
      </c>
      <c r="K138" s="735" t="s">
        <v>411</v>
      </c>
      <c r="L138" s="735" t="s">
        <v>509</v>
      </c>
      <c r="M138" s="733" t="s">
        <v>21</v>
      </c>
      <c r="N138" s="733" t="s">
        <v>21</v>
      </c>
      <c r="O138" s="733" t="s">
        <v>21</v>
      </c>
      <c r="P138" s="733" t="s">
        <v>21</v>
      </c>
      <c r="Q138" s="733" t="s">
        <v>21</v>
      </c>
      <c r="R138" s="1610"/>
    </row>
    <row r="139" spans="2:18" x14ac:dyDescent="0.3">
      <c r="B139" s="570">
        <v>1</v>
      </c>
      <c r="C139" s="415" t="s">
        <v>1657</v>
      </c>
      <c r="D139" s="415"/>
      <c r="E139" s="415"/>
      <c r="F139" s="415"/>
      <c r="G139" s="415"/>
      <c r="H139" s="425"/>
      <c r="I139" s="425"/>
      <c r="J139" s="395"/>
      <c r="K139" s="396"/>
      <c r="L139" s="395"/>
      <c r="M139" s="395"/>
      <c r="N139" s="397"/>
      <c r="O139" s="397"/>
      <c r="P139" s="397"/>
      <c r="Q139" s="397"/>
      <c r="R139" s="395"/>
    </row>
    <row r="140" spans="2:18" x14ac:dyDescent="0.3">
      <c r="B140" s="568">
        <v>1.1000000000000001</v>
      </c>
      <c r="C140" s="414" t="s">
        <v>30</v>
      </c>
      <c r="D140" s="462"/>
      <c r="E140" s="462">
        <v>10.1734442</v>
      </c>
      <c r="F140" s="462">
        <f>E140-D140</f>
        <v>10.1734442</v>
      </c>
      <c r="G140" s="462"/>
      <c r="H140" s="462">
        <v>9.1025661999999983</v>
      </c>
      <c r="I140" s="462">
        <f>H140-G140</f>
        <v>9.1025661999999983</v>
      </c>
      <c r="J140" s="463"/>
      <c r="K140" s="462"/>
      <c r="L140" s="462">
        <f>K140-J140</f>
        <v>0</v>
      </c>
      <c r="M140" s="463"/>
      <c r="N140" s="463"/>
      <c r="O140" s="463"/>
      <c r="P140" s="463"/>
      <c r="Q140" s="463"/>
      <c r="R140" s="398"/>
    </row>
    <row r="141" spans="2:18" x14ac:dyDescent="0.3">
      <c r="B141" s="568">
        <f t="shared" ref="B141:B147" si="49">B140+0.1</f>
        <v>1.2000000000000002</v>
      </c>
      <c r="C141" s="414" t="s">
        <v>400</v>
      </c>
      <c r="D141" s="462"/>
      <c r="E141" s="462">
        <v>0</v>
      </c>
      <c r="F141" s="462">
        <f t="shared" ref="F141:F147" si="50">E141-D141</f>
        <v>0</v>
      </c>
      <c r="G141" s="462"/>
      <c r="H141" s="462">
        <v>0</v>
      </c>
      <c r="I141" s="462">
        <f t="shared" ref="I141:I147" si="51">H141-G141</f>
        <v>0</v>
      </c>
      <c r="J141" s="463"/>
      <c r="K141" s="462"/>
      <c r="L141" s="462">
        <f t="shared" ref="L141:L147" si="52">K141-J141</f>
        <v>0</v>
      </c>
      <c r="M141" s="463"/>
      <c r="N141" s="463"/>
      <c r="O141" s="463"/>
      <c r="P141" s="463"/>
      <c r="Q141" s="463"/>
      <c r="R141" s="398"/>
    </row>
    <row r="142" spans="2:18" x14ac:dyDescent="0.3">
      <c r="B142" s="568">
        <f t="shared" si="49"/>
        <v>1.3000000000000003</v>
      </c>
      <c r="C142" s="414" t="s">
        <v>342</v>
      </c>
      <c r="D142" s="462"/>
      <c r="E142" s="462">
        <v>0</v>
      </c>
      <c r="F142" s="462">
        <f t="shared" si="50"/>
        <v>0</v>
      </c>
      <c r="G142" s="462"/>
      <c r="H142" s="462">
        <v>0</v>
      </c>
      <c r="I142" s="462">
        <f t="shared" si="51"/>
        <v>0</v>
      </c>
      <c r="J142" s="463"/>
      <c r="K142" s="462"/>
      <c r="L142" s="462">
        <f t="shared" si="52"/>
        <v>0</v>
      </c>
      <c r="M142" s="463"/>
      <c r="N142" s="463"/>
      <c r="O142" s="463"/>
      <c r="P142" s="463"/>
      <c r="Q142" s="463"/>
      <c r="R142" s="398"/>
    </row>
    <row r="143" spans="2:18" x14ac:dyDescent="0.3">
      <c r="B143" s="568">
        <f t="shared" si="49"/>
        <v>1.4000000000000004</v>
      </c>
      <c r="C143" s="414" t="s">
        <v>31</v>
      </c>
      <c r="D143" s="462"/>
      <c r="E143" s="462">
        <v>1.070878</v>
      </c>
      <c r="F143" s="462">
        <f t="shared" si="50"/>
        <v>1.070878</v>
      </c>
      <c r="G143" s="462"/>
      <c r="H143" s="462">
        <v>1.0708784</v>
      </c>
      <c r="I143" s="462">
        <f t="shared" si="51"/>
        <v>1.0708784</v>
      </c>
      <c r="J143" s="463"/>
      <c r="K143" s="462"/>
      <c r="L143" s="462">
        <f t="shared" si="52"/>
        <v>0</v>
      </c>
      <c r="M143" s="463"/>
      <c r="N143" s="463"/>
      <c r="O143" s="463"/>
      <c r="P143" s="463"/>
      <c r="Q143" s="463"/>
      <c r="R143" s="398"/>
    </row>
    <row r="144" spans="2:18" x14ac:dyDescent="0.3">
      <c r="B144" s="568">
        <f t="shared" si="49"/>
        <v>1.5000000000000004</v>
      </c>
      <c r="C144" s="414" t="s">
        <v>32</v>
      </c>
      <c r="D144" s="462"/>
      <c r="E144" s="462">
        <f>+E140-E141+E142-E143</f>
        <v>9.1025662000000001</v>
      </c>
      <c r="F144" s="462">
        <f t="shared" si="50"/>
        <v>9.1025662000000001</v>
      </c>
      <c r="G144" s="462"/>
      <c r="H144" s="462">
        <f>+H140-H141+H142-H143</f>
        <v>8.0316877999999985</v>
      </c>
      <c r="I144" s="462">
        <f t="shared" si="51"/>
        <v>8.0316877999999985</v>
      </c>
      <c r="J144" s="463"/>
      <c r="K144" s="463">
        <f>+J140-J141+J142-J143</f>
        <v>0</v>
      </c>
      <c r="L144" s="462">
        <f t="shared" si="52"/>
        <v>0</v>
      </c>
      <c r="M144" s="463"/>
      <c r="N144" s="463">
        <f>+M140-M141+M142-M143</f>
        <v>0</v>
      </c>
      <c r="O144" s="463"/>
      <c r="P144" s="463"/>
      <c r="Q144" s="463">
        <f>+O140-O141+O142-O143</f>
        <v>0</v>
      </c>
      <c r="R144" s="398"/>
    </row>
    <row r="145" spans="2:18" x14ac:dyDescent="0.3">
      <c r="B145" s="568">
        <f t="shared" si="49"/>
        <v>1.6000000000000005</v>
      </c>
      <c r="C145" s="414" t="s">
        <v>469</v>
      </c>
      <c r="D145" s="462"/>
      <c r="E145" s="740">
        <f>AVERAGE(E140,E144)</f>
        <v>9.6380052000000003</v>
      </c>
      <c r="F145" s="462">
        <f t="shared" si="50"/>
        <v>9.6380052000000003</v>
      </c>
      <c r="G145" s="462"/>
      <c r="H145" s="740">
        <f>AVERAGE(H140,H144)</f>
        <v>8.5671269999999993</v>
      </c>
      <c r="I145" s="462">
        <f t="shared" si="51"/>
        <v>8.5671269999999993</v>
      </c>
      <c r="J145" s="463"/>
      <c r="K145" s="462"/>
      <c r="L145" s="462">
        <f t="shared" si="52"/>
        <v>0</v>
      </c>
      <c r="M145" s="463"/>
      <c r="N145" s="463"/>
      <c r="O145" s="463"/>
      <c r="P145" s="463"/>
      <c r="Q145" s="463"/>
      <c r="R145" s="398"/>
    </row>
    <row r="146" spans="2:18" s="564" customFormat="1" x14ac:dyDescent="0.3">
      <c r="B146" s="572">
        <f t="shared" si="49"/>
        <v>1.7000000000000006</v>
      </c>
      <c r="C146" s="560" t="s">
        <v>33</v>
      </c>
      <c r="D146" s="561"/>
      <c r="E146" s="561">
        <f>IFERROR(E147/E145,0)</f>
        <v>0.10264122912073133</v>
      </c>
      <c r="F146" s="561">
        <f>F147/F145</f>
        <v>0.10264122912073133</v>
      </c>
      <c r="G146" s="561"/>
      <c r="H146" s="561">
        <f>IFERROR(H147/H145,0)</f>
        <v>9.8716372478194855E-2</v>
      </c>
      <c r="I146" s="561">
        <f>I147/I145</f>
        <v>9.8716372478194855E-2</v>
      </c>
      <c r="J146" s="562"/>
      <c r="K146" s="562" t="e">
        <f>J147/K145</f>
        <v>#DIV/0!</v>
      </c>
      <c r="L146" s="561" t="e">
        <f>L147/L145</f>
        <v>#DIV/0!</v>
      </c>
      <c r="M146" s="562"/>
      <c r="N146" s="562" t="e">
        <f>M147/N145</f>
        <v>#DIV/0!</v>
      </c>
      <c r="O146" s="562"/>
      <c r="P146" s="562"/>
      <c r="Q146" s="562" t="e">
        <f>O147/Q145</f>
        <v>#DIV/0!</v>
      </c>
      <c r="R146" s="563"/>
    </row>
    <row r="147" spans="2:18" x14ac:dyDescent="0.3">
      <c r="B147" s="568">
        <f t="shared" si="49"/>
        <v>1.8000000000000007</v>
      </c>
      <c r="C147" s="414" t="s">
        <v>34</v>
      </c>
      <c r="D147" s="462"/>
      <c r="E147" s="462">
        <v>0.98925669999999999</v>
      </c>
      <c r="F147" s="462">
        <f t="shared" si="50"/>
        <v>0.98925669999999999</v>
      </c>
      <c r="G147" s="462"/>
      <c r="H147" s="462">
        <v>0.84571569999999996</v>
      </c>
      <c r="I147" s="462">
        <f t="shared" si="51"/>
        <v>0.84571569999999996</v>
      </c>
      <c r="J147" s="463"/>
      <c r="K147" s="462"/>
      <c r="L147" s="462">
        <f t="shared" si="52"/>
        <v>0</v>
      </c>
      <c r="M147" s="463"/>
      <c r="N147" s="463"/>
      <c r="O147" s="463"/>
      <c r="P147" s="463"/>
      <c r="Q147" s="463"/>
      <c r="R147" s="398"/>
    </row>
    <row r="148" spans="2:18" x14ac:dyDescent="0.3">
      <c r="B148" s="568"/>
      <c r="C148" s="414"/>
      <c r="D148" s="462"/>
      <c r="E148" s="462"/>
      <c r="F148" s="462"/>
      <c r="G148" s="462"/>
      <c r="H148" s="462"/>
      <c r="I148" s="462"/>
      <c r="J148" s="463"/>
      <c r="K148" s="462"/>
      <c r="L148" s="462"/>
      <c r="M148" s="463"/>
      <c r="N148" s="463"/>
      <c r="O148" s="463"/>
      <c r="P148" s="463"/>
      <c r="Q148" s="463"/>
      <c r="R148" s="398"/>
    </row>
    <row r="149" spans="2:18" x14ac:dyDescent="0.3">
      <c r="B149" s="570">
        <v>2</v>
      </c>
      <c r="C149" s="415" t="s">
        <v>1658</v>
      </c>
      <c r="D149" s="462"/>
      <c r="E149" s="462"/>
      <c r="F149" s="462"/>
      <c r="G149" s="462"/>
      <c r="H149" s="462"/>
      <c r="I149" s="462"/>
      <c r="J149" s="463"/>
      <c r="K149" s="462"/>
      <c r="L149" s="462"/>
      <c r="M149" s="463"/>
      <c r="N149" s="463"/>
      <c r="O149" s="463"/>
      <c r="P149" s="463"/>
      <c r="Q149" s="463"/>
      <c r="R149" s="398"/>
    </row>
    <row r="150" spans="2:18" x14ac:dyDescent="0.3">
      <c r="B150" s="568">
        <f t="shared" ref="B150:B157" si="53">B149+0.1</f>
        <v>2.1</v>
      </c>
      <c r="C150" s="414" t="s">
        <v>30</v>
      </c>
      <c r="D150" s="462"/>
      <c r="E150" s="462">
        <v>3.7117875773589257</v>
      </c>
      <c r="F150" s="462">
        <f t="shared" ref="F150:F157" si="54">E150-D150</f>
        <v>3.7117875773589257</v>
      </c>
      <c r="G150" s="462"/>
      <c r="H150" s="462">
        <v>1.733583088052161</v>
      </c>
      <c r="I150" s="462">
        <f t="shared" ref="I150:I157" si="55">H150-G150</f>
        <v>1.733583088052161</v>
      </c>
      <c r="J150" s="463"/>
      <c r="K150" s="462"/>
      <c r="L150" s="462">
        <f t="shared" ref="L150:L157" si="56">K150-J150</f>
        <v>0</v>
      </c>
      <c r="M150" s="463"/>
      <c r="N150" s="463"/>
      <c r="O150" s="463"/>
      <c r="P150" s="463"/>
      <c r="Q150" s="463"/>
      <c r="R150" s="398"/>
    </row>
    <row r="151" spans="2:18" x14ac:dyDescent="0.3">
      <c r="B151" s="568">
        <f t="shared" si="53"/>
        <v>2.2000000000000002</v>
      </c>
      <c r="C151" s="414" t="s">
        <v>400</v>
      </c>
      <c r="D151" s="462"/>
      <c r="E151" s="462">
        <v>0</v>
      </c>
      <c r="F151" s="462">
        <f t="shared" si="54"/>
        <v>0</v>
      </c>
      <c r="G151" s="462"/>
      <c r="H151" s="462">
        <v>0</v>
      </c>
      <c r="I151" s="462">
        <f t="shared" si="55"/>
        <v>0</v>
      </c>
      <c r="J151" s="463"/>
      <c r="K151" s="462"/>
      <c r="L151" s="462">
        <f t="shared" si="56"/>
        <v>0</v>
      </c>
      <c r="M151" s="463"/>
      <c r="N151" s="463"/>
      <c r="O151" s="463"/>
      <c r="P151" s="463"/>
      <c r="Q151" s="463"/>
      <c r="R151" s="398"/>
    </row>
    <row r="152" spans="2:18" x14ac:dyDescent="0.3">
      <c r="B152" s="568">
        <f t="shared" si="53"/>
        <v>2.3000000000000003</v>
      </c>
      <c r="C152" s="414" t="s">
        <v>342</v>
      </c>
      <c r="D152" s="462"/>
      <c r="E152" s="462">
        <v>0</v>
      </c>
      <c r="F152" s="462">
        <f t="shared" si="54"/>
        <v>0</v>
      </c>
      <c r="G152" s="462"/>
      <c r="H152" s="462">
        <v>0</v>
      </c>
      <c r="I152" s="462">
        <f t="shared" si="55"/>
        <v>0</v>
      </c>
      <c r="J152" s="463"/>
      <c r="K152" s="462"/>
      <c r="L152" s="462">
        <f t="shared" si="56"/>
        <v>0</v>
      </c>
      <c r="M152" s="463"/>
      <c r="N152" s="463"/>
      <c r="O152" s="463"/>
      <c r="P152" s="463"/>
      <c r="Q152" s="463"/>
      <c r="R152" s="398"/>
    </row>
    <row r="153" spans="2:18" x14ac:dyDescent="0.3">
      <c r="B153" s="568">
        <f t="shared" si="53"/>
        <v>2.4000000000000004</v>
      </c>
      <c r="C153" s="414" t="s">
        <v>31</v>
      </c>
      <c r="D153" s="462"/>
      <c r="E153" s="462">
        <v>1.978204489306765</v>
      </c>
      <c r="F153" s="462">
        <f t="shared" si="54"/>
        <v>1.978204489306765</v>
      </c>
      <c r="G153" s="462"/>
      <c r="H153" s="462">
        <v>1.2111150319869777</v>
      </c>
      <c r="I153" s="462">
        <f t="shared" si="55"/>
        <v>1.2111150319869777</v>
      </c>
      <c r="J153" s="463"/>
      <c r="K153" s="462"/>
      <c r="L153" s="462">
        <f t="shared" si="56"/>
        <v>0</v>
      </c>
      <c r="M153" s="463"/>
      <c r="N153" s="463"/>
      <c r="O153" s="463"/>
      <c r="P153" s="463"/>
      <c r="Q153" s="463"/>
      <c r="R153" s="398"/>
    </row>
    <row r="154" spans="2:18" x14ac:dyDescent="0.3">
      <c r="B154" s="568">
        <f t="shared" si="53"/>
        <v>2.5000000000000004</v>
      </c>
      <c r="C154" s="414" t="s">
        <v>32</v>
      </c>
      <c r="D154" s="462"/>
      <c r="E154" s="462">
        <f>+E150-E151+E152-E153</f>
        <v>1.7335830880521608</v>
      </c>
      <c r="F154" s="462">
        <f t="shared" si="54"/>
        <v>1.7335830880521608</v>
      </c>
      <c r="G154" s="462"/>
      <c r="H154" s="462">
        <f>+H150-H151+H152-H153</f>
        <v>0.52246805606518332</v>
      </c>
      <c r="I154" s="462">
        <f t="shared" si="55"/>
        <v>0.52246805606518332</v>
      </c>
      <c r="J154" s="463"/>
      <c r="K154" s="463">
        <f>+J150-J151+J152-J153</f>
        <v>0</v>
      </c>
      <c r="L154" s="462">
        <f t="shared" si="56"/>
        <v>0</v>
      </c>
      <c r="M154" s="463"/>
      <c r="N154" s="463">
        <f>+M150-M151+M152-M153</f>
        <v>0</v>
      </c>
      <c r="O154" s="463"/>
      <c r="P154" s="463"/>
      <c r="Q154" s="463">
        <f>+O150-O151+O152-O153</f>
        <v>0</v>
      </c>
      <c r="R154" s="398"/>
    </row>
    <row r="155" spans="2:18" x14ac:dyDescent="0.3">
      <c r="B155" s="568">
        <f t="shared" si="53"/>
        <v>2.6000000000000005</v>
      </c>
      <c r="C155" s="414" t="s">
        <v>469</v>
      </c>
      <c r="D155" s="462"/>
      <c r="E155" s="740">
        <f>AVERAGE(E150,E154)</f>
        <v>2.7226853327055434</v>
      </c>
      <c r="F155" s="462">
        <f t="shared" si="54"/>
        <v>2.7226853327055434</v>
      </c>
      <c r="G155" s="462"/>
      <c r="H155" s="740">
        <f>AVERAGE(H150,H154)</f>
        <v>1.128025572058672</v>
      </c>
      <c r="I155" s="462">
        <f t="shared" si="55"/>
        <v>1.128025572058672</v>
      </c>
      <c r="J155" s="463"/>
      <c r="K155" s="462"/>
      <c r="L155" s="462">
        <f t="shared" si="56"/>
        <v>0</v>
      </c>
      <c r="M155" s="463"/>
      <c r="N155" s="463"/>
      <c r="O155" s="463"/>
      <c r="P155" s="463"/>
      <c r="Q155" s="463"/>
      <c r="R155" s="398"/>
    </row>
    <row r="156" spans="2:18" s="564" customFormat="1" x14ac:dyDescent="0.3">
      <c r="B156" s="572">
        <f t="shared" si="53"/>
        <v>2.7000000000000006</v>
      </c>
      <c r="C156" s="560" t="s">
        <v>33</v>
      </c>
      <c r="D156" s="561"/>
      <c r="E156" s="561">
        <f>IFERROR(E157/E155,0)</f>
        <v>9.8942381686491193E-2</v>
      </c>
      <c r="F156" s="561">
        <f>F157/F155</f>
        <v>9.8942381686491193E-2</v>
      </c>
      <c r="G156" s="561"/>
      <c r="H156" s="561">
        <f>IFERROR(H157/H155,0)</f>
        <v>8.7636431219473634E-2</v>
      </c>
      <c r="I156" s="561">
        <f>I157/I155</f>
        <v>8.7636431219473634E-2</v>
      </c>
      <c r="J156" s="562"/>
      <c r="K156" s="562" t="e">
        <f>J157/K155</f>
        <v>#DIV/0!</v>
      </c>
      <c r="L156" s="561" t="e">
        <f>L157/L155</f>
        <v>#DIV/0!</v>
      </c>
      <c r="M156" s="562"/>
      <c r="N156" s="562" t="e">
        <f>M157/N155</f>
        <v>#DIV/0!</v>
      </c>
      <c r="O156" s="562"/>
      <c r="P156" s="562"/>
      <c r="Q156" s="562" t="e">
        <f>O157/Q155</f>
        <v>#DIV/0!</v>
      </c>
      <c r="R156" s="563"/>
    </row>
    <row r="157" spans="2:18" x14ac:dyDescent="0.3">
      <c r="B157" s="568">
        <f t="shared" si="53"/>
        <v>2.8000000000000007</v>
      </c>
      <c r="C157" s="414" t="s">
        <v>34</v>
      </c>
      <c r="D157" s="462"/>
      <c r="E157" s="462">
        <v>0.26938897140076312</v>
      </c>
      <c r="F157" s="462">
        <f t="shared" si="54"/>
        <v>0.26938897140076312</v>
      </c>
      <c r="G157" s="462"/>
      <c r="H157" s="462">
        <v>9.8856135459527206E-2</v>
      </c>
      <c r="I157" s="462">
        <f t="shared" si="55"/>
        <v>9.8856135459527206E-2</v>
      </c>
      <c r="J157" s="463"/>
      <c r="K157" s="462"/>
      <c r="L157" s="462">
        <f t="shared" si="56"/>
        <v>0</v>
      </c>
      <c r="M157" s="463"/>
      <c r="N157" s="463"/>
      <c r="O157" s="463"/>
      <c r="P157" s="463"/>
      <c r="Q157" s="463"/>
      <c r="R157" s="398"/>
    </row>
    <row r="158" spans="2:18" x14ac:dyDescent="0.3">
      <c r="B158" s="568"/>
      <c r="C158" s="414"/>
      <c r="D158" s="462"/>
      <c r="E158" s="462"/>
      <c r="F158" s="462"/>
      <c r="G158" s="462"/>
      <c r="H158" s="462"/>
      <c r="I158" s="462"/>
      <c r="J158" s="463"/>
      <c r="K158" s="462"/>
      <c r="L158" s="462"/>
      <c r="M158" s="463"/>
      <c r="N158" s="463"/>
      <c r="O158" s="463"/>
      <c r="P158" s="463"/>
      <c r="Q158" s="463"/>
      <c r="R158" s="398"/>
    </row>
    <row r="159" spans="2:18" x14ac:dyDescent="0.3">
      <c r="B159" s="570">
        <v>3</v>
      </c>
      <c r="C159" s="415" t="s">
        <v>1651</v>
      </c>
      <c r="D159" s="462"/>
      <c r="E159" s="462"/>
      <c r="F159" s="462"/>
      <c r="G159" s="462"/>
      <c r="H159" s="462"/>
      <c r="I159" s="462"/>
      <c r="J159" s="463"/>
      <c r="K159" s="462"/>
      <c r="L159" s="462"/>
      <c r="M159" s="463"/>
      <c r="N159" s="463"/>
      <c r="O159" s="463"/>
      <c r="P159" s="463"/>
      <c r="Q159" s="463"/>
      <c r="R159" s="398"/>
    </row>
    <row r="160" spans="2:18" x14ac:dyDescent="0.3">
      <c r="B160" s="568">
        <f>B159+0.1</f>
        <v>3.1</v>
      </c>
      <c r="C160" s="414" t="s">
        <v>30</v>
      </c>
      <c r="D160" s="462"/>
      <c r="E160" s="462">
        <v>10.97</v>
      </c>
      <c r="F160" s="462">
        <f t="shared" ref="F160:F167" si="57">E160-D160</f>
        <v>10.97</v>
      </c>
      <c r="G160" s="462"/>
      <c r="H160" s="462">
        <v>9.964500000000001</v>
      </c>
      <c r="I160" s="462">
        <f t="shared" ref="I160:I167" si="58">H160-G160</f>
        <v>9.964500000000001</v>
      </c>
      <c r="J160" s="463"/>
      <c r="K160" s="462"/>
      <c r="L160" s="462">
        <f t="shared" ref="L160:L167" si="59">K160-J160</f>
        <v>0</v>
      </c>
      <c r="M160" s="463"/>
      <c r="N160" s="463"/>
      <c r="O160" s="463"/>
      <c r="P160" s="463"/>
      <c r="Q160" s="463"/>
      <c r="R160" s="398"/>
    </row>
    <row r="161" spans="2:18" x14ac:dyDescent="0.3">
      <c r="B161" s="568">
        <f t="shared" ref="B161:B167" si="60">B160+0.1</f>
        <v>3.2</v>
      </c>
      <c r="C161" s="414" t="s">
        <v>400</v>
      </c>
      <c r="D161" s="462"/>
      <c r="E161" s="462">
        <v>0</v>
      </c>
      <c r="F161" s="462">
        <f t="shared" si="57"/>
        <v>0</v>
      </c>
      <c r="G161" s="462"/>
      <c r="H161" s="462">
        <v>0</v>
      </c>
      <c r="I161" s="462">
        <f t="shared" si="58"/>
        <v>0</v>
      </c>
      <c r="J161" s="463"/>
      <c r="K161" s="462"/>
      <c r="L161" s="462">
        <f t="shared" si="59"/>
        <v>0</v>
      </c>
      <c r="M161" s="463"/>
      <c r="N161" s="463"/>
      <c r="O161" s="463"/>
      <c r="P161" s="463"/>
      <c r="Q161" s="463"/>
      <c r="R161" s="398"/>
    </row>
    <row r="162" spans="2:18" x14ac:dyDescent="0.3">
      <c r="B162" s="568">
        <f t="shared" si="60"/>
        <v>3.3000000000000003</v>
      </c>
      <c r="C162" s="414" t="s">
        <v>342</v>
      </c>
      <c r="D162" s="462"/>
      <c r="E162" s="462">
        <v>0</v>
      </c>
      <c r="F162" s="462">
        <f t="shared" si="57"/>
        <v>0</v>
      </c>
      <c r="G162" s="462"/>
      <c r="H162" s="462">
        <v>0</v>
      </c>
      <c r="I162" s="462">
        <f t="shared" si="58"/>
        <v>0</v>
      </c>
      <c r="J162" s="463"/>
      <c r="K162" s="462"/>
      <c r="L162" s="462">
        <f t="shared" si="59"/>
        <v>0</v>
      </c>
      <c r="M162" s="463"/>
      <c r="N162" s="463"/>
      <c r="O162" s="463"/>
      <c r="P162" s="463"/>
      <c r="Q162" s="463"/>
      <c r="R162" s="398"/>
    </row>
    <row r="163" spans="2:18" x14ac:dyDescent="0.3">
      <c r="B163" s="568">
        <f t="shared" si="60"/>
        <v>3.4000000000000004</v>
      </c>
      <c r="C163" s="414" t="s">
        <v>31</v>
      </c>
      <c r="D163" s="462"/>
      <c r="E163" s="462">
        <v>1.0055000000000001</v>
      </c>
      <c r="F163" s="462">
        <f t="shared" si="57"/>
        <v>1.0055000000000001</v>
      </c>
      <c r="G163" s="462"/>
      <c r="H163" s="462">
        <v>1.097000196</v>
      </c>
      <c r="I163" s="462">
        <f t="shared" si="58"/>
        <v>1.097000196</v>
      </c>
      <c r="J163" s="463"/>
      <c r="K163" s="462"/>
      <c r="L163" s="462">
        <f t="shared" si="59"/>
        <v>0</v>
      </c>
      <c r="M163" s="463"/>
      <c r="N163" s="463"/>
      <c r="O163" s="463"/>
      <c r="P163" s="463"/>
      <c r="Q163" s="463"/>
      <c r="R163" s="398"/>
    </row>
    <row r="164" spans="2:18" x14ac:dyDescent="0.3">
      <c r="B164" s="568">
        <f t="shared" si="60"/>
        <v>3.5000000000000004</v>
      </c>
      <c r="C164" s="414" t="s">
        <v>32</v>
      </c>
      <c r="D164" s="462"/>
      <c r="E164" s="462">
        <f>+E160-E161+E162-E163</f>
        <v>9.964500000000001</v>
      </c>
      <c r="F164" s="462">
        <f t="shared" si="57"/>
        <v>9.964500000000001</v>
      </c>
      <c r="G164" s="462"/>
      <c r="H164" s="462">
        <f>+H160-H161+H162-H163</f>
        <v>8.8674998040000013</v>
      </c>
      <c r="I164" s="462">
        <f t="shared" si="58"/>
        <v>8.8674998040000013</v>
      </c>
      <c r="J164" s="463"/>
      <c r="K164" s="463">
        <f>+J160-J161+J162-J163</f>
        <v>0</v>
      </c>
      <c r="L164" s="462">
        <f t="shared" si="59"/>
        <v>0</v>
      </c>
      <c r="M164" s="463"/>
      <c r="N164" s="463">
        <f>+M160-M161+M162-M163</f>
        <v>0</v>
      </c>
      <c r="O164" s="463"/>
      <c r="P164" s="463"/>
      <c r="Q164" s="463">
        <f>+O160-O161+O162-O163</f>
        <v>0</v>
      </c>
      <c r="R164" s="398"/>
    </row>
    <row r="165" spans="2:18" x14ac:dyDescent="0.3">
      <c r="B165" s="568">
        <f t="shared" si="60"/>
        <v>3.6000000000000005</v>
      </c>
      <c r="C165" s="414" t="s">
        <v>469</v>
      </c>
      <c r="D165" s="462"/>
      <c r="E165" s="740">
        <f>AVERAGE(E160,E164)</f>
        <v>10.46725</v>
      </c>
      <c r="F165" s="462">
        <f t="shared" si="57"/>
        <v>10.46725</v>
      </c>
      <c r="G165" s="462"/>
      <c r="H165" s="740">
        <f>AVERAGE(H160,H164)</f>
        <v>9.4159999020000011</v>
      </c>
      <c r="I165" s="462">
        <f t="shared" si="58"/>
        <v>9.4159999020000011</v>
      </c>
      <c r="J165" s="463"/>
      <c r="K165" s="462"/>
      <c r="L165" s="462">
        <f t="shared" si="59"/>
        <v>0</v>
      </c>
      <c r="M165" s="463"/>
      <c r="N165" s="463"/>
      <c r="O165" s="463"/>
      <c r="P165" s="463"/>
      <c r="Q165" s="463"/>
      <c r="R165" s="398"/>
    </row>
    <row r="166" spans="2:18" s="564" customFormat="1" x14ac:dyDescent="0.3">
      <c r="B166" s="572">
        <f t="shared" si="60"/>
        <v>3.7000000000000006</v>
      </c>
      <c r="C166" s="560" t="s">
        <v>33</v>
      </c>
      <c r="D166" s="561"/>
      <c r="E166" s="561">
        <f>IFERROR(E167/E165,0)</f>
        <v>0.11516874059566744</v>
      </c>
      <c r="F166" s="561">
        <f>F167/F165</f>
        <v>0.11516874059566744</v>
      </c>
      <c r="G166" s="561"/>
      <c r="H166" s="561">
        <f>IFERROR(H167/H165,0)</f>
        <v>0.11203222682026044</v>
      </c>
      <c r="I166" s="561">
        <f>I167/I165</f>
        <v>0.11203222682026044</v>
      </c>
      <c r="J166" s="562"/>
      <c r="K166" s="562" t="e">
        <f>J167/K165</f>
        <v>#DIV/0!</v>
      </c>
      <c r="L166" s="561" t="e">
        <f>L167/L165</f>
        <v>#DIV/0!</v>
      </c>
      <c r="M166" s="562"/>
      <c r="N166" s="562" t="e">
        <f>M167/N165</f>
        <v>#DIV/0!</v>
      </c>
      <c r="O166" s="562"/>
      <c r="P166" s="562"/>
      <c r="Q166" s="562" t="e">
        <f>O167/Q165</f>
        <v>#DIV/0!</v>
      </c>
      <c r="R166" s="563"/>
    </row>
    <row r="167" spans="2:18" x14ac:dyDescent="0.3">
      <c r="B167" s="568">
        <f t="shared" si="60"/>
        <v>3.8000000000000007</v>
      </c>
      <c r="C167" s="414" t="s">
        <v>34</v>
      </c>
      <c r="D167" s="462"/>
      <c r="E167" s="462">
        <v>1.2055</v>
      </c>
      <c r="F167" s="462">
        <f t="shared" si="57"/>
        <v>1.2055</v>
      </c>
      <c r="G167" s="462"/>
      <c r="H167" s="462">
        <v>1.0548954367604142</v>
      </c>
      <c r="I167" s="462">
        <f t="shared" si="58"/>
        <v>1.0548954367604142</v>
      </c>
      <c r="J167" s="463"/>
      <c r="K167" s="462"/>
      <c r="L167" s="462">
        <f t="shared" si="59"/>
        <v>0</v>
      </c>
      <c r="M167" s="463"/>
      <c r="N167" s="463"/>
      <c r="O167" s="463"/>
      <c r="P167" s="463"/>
      <c r="Q167" s="463"/>
      <c r="R167" s="398"/>
    </row>
    <row r="168" spans="2:18" x14ac:dyDescent="0.3">
      <c r="B168" s="570"/>
      <c r="C168" s="415"/>
      <c r="D168" s="462"/>
      <c r="E168" s="462"/>
      <c r="F168" s="462"/>
      <c r="G168" s="462"/>
      <c r="H168" s="462"/>
      <c r="I168" s="462"/>
      <c r="J168" s="463"/>
      <c r="K168" s="462"/>
      <c r="L168" s="462"/>
      <c r="M168" s="463"/>
      <c r="N168" s="463"/>
      <c r="O168" s="463"/>
      <c r="P168" s="463"/>
      <c r="Q168" s="463"/>
      <c r="R168" s="398"/>
    </row>
    <row r="169" spans="2:18" x14ac:dyDescent="0.3">
      <c r="B169" s="570">
        <v>4</v>
      </c>
      <c r="C169" s="415" t="s">
        <v>1652</v>
      </c>
      <c r="D169" s="462"/>
      <c r="E169" s="462"/>
      <c r="F169" s="462"/>
      <c r="G169" s="462"/>
      <c r="H169" s="462"/>
      <c r="I169" s="462"/>
      <c r="J169" s="463"/>
      <c r="K169" s="462"/>
      <c r="L169" s="462"/>
      <c r="M169" s="463"/>
      <c r="N169" s="463"/>
      <c r="O169" s="463"/>
      <c r="P169" s="463"/>
      <c r="Q169" s="463"/>
      <c r="R169" s="398"/>
    </row>
    <row r="170" spans="2:18" x14ac:dyDescent="0.3">
      <c r="B170" s="568">
        <f>B169+0.1</f>
        <v>4.0999999999999996</v>
      </c>
      <c r="C170" s="414" t="s">
        <v>30</v>
      </c>
      <c r="D170" s="462"/>
      <c r="E170" s="462">
        <v>0</v>
      </c>
      <c r="F170" s="462">
        <f t="shared" ref="F170:F177" si="61">E170-D170</f>
        <v>0</v>
      </c>
      <c r="G170" s="462"/>
      <c r="H170" s="462">
        <v>0</v>
      </c>
      <c r="I170" s="462">
        <f t="shared" ref="I170:I177" si="62">H170-G170</f>
        <v>0</v>
      </c>
      <c r="J170" s="463"/>
      <c r="K170" s="462"/>
      <c r="L170" s="462">
        <f t="shared" ref="L170:L177" si="63">K170-J170</f>
        <v>0</v>
      </c>
      <c r="M170" s="463"/>
      <c r="N170" s="463"/>
      <c r="O170" s="463"/>
      <c r="P170" s="463"/>
      <c r="Q170" s="463"/>
      <c r="R170" s="398"/>
    </row>
    <row r="171" spans="2:18" x14ac:dyDescent="0.3">
      <c r="B171" s="568">
        <f t="shared" ref="B171:B177" si="64">B170+0.1</f>
        <v>4.1999999999999993</v>
      </c>
      <c r="C171" s="414" t="s">
        <v>400</v>
      </c>
      <c r="D171" s="462"/>
      <c r="E171" s="462">
        <v>0</v>
      </c>
      <c r="F171" s="462">
        <f t="shared" si="61"/>
        <v>0</v>
      </c>
      <c r="G171" s="462"/>
      <c r="H171" s="462">
        <v>0</v>
      </c>
      <c r="I171" s="462">
        <f t="shared" si="62"/>
        <v>0</v>
      </c>
      <c r="J171" s="463"/>
      <c r="K171" s="462"/>
      <c r="L171" s="462">
        <f t="shared" si="63"/>
        <v>0</v>
      </c>
      <c r="M171" s="463"/>
      <c r="N171" s="463"/>
      <c r="O171" s="463"/>
      <c r="P171" s="463"/>
      <c r="Q171" s="463"/>
      <c r="R171" s="398"/>
    </row>
    <row r="172" spans="2:18" x14ac:dyDescent="0.3">
      <c r="B172" s="568">
        <f t="shared" si="64"/>
        <v>4.2999999999999989</v>
      </c>
      <c r="C172" s="414" t="s">
        <v>342</v>
      </c>
      <c r="D172" s="462"/>
      <c r="E172" s="462">
        <v>0</v>
      </c>
      <c r="F172" s="462">
        <f t="shared" si="61"/>
        <v>0</v>
      </c>
      <c r="G172" s="462"/>
      <c r="H172" s="462">
        <v>0</v>
      </c>
      <c r="I172" s="462">
        <f t="shared" si="62"/>
        <v>0</v>
      </c>
      <c r="J172" s="463"/>
      <c r="K172" s="462"/>
      <c r="L172" s="462">
        <f t="shared" si="63"/>
        <v>0</v>
      </c>
      <c r="M172" s="463"/>
      <c r="N172" s="463"/>
      <c r="O172" s="463"/>
      <c r="P172" s="463"/>
      <c r="Q172" s="463"/>
      <c r="R172" s="398"/>
    </row>
    <row r="173" spans="2:18" x14ac:dyDescent="0.3">
      <c r="B173" s="568">
        <f t="shared" si="64"/>
        <v>4.3999999999999986</v>
      </c>
      <c r="C173" s="414" t="s">
        <v>31</v>
      </c>
      <c r="D173" s="462"/>
      <c r="E173" s="462">
        <v>0</v>
      </c>
      <c r="F173" s="462">
        <f t="shared" si="61"/>
        <v>0</v>
      </c>
      <c r="G173" s="462"/>
      <c r="H173" s="462">
        <v>0</v>
      </c>
      <c r="I173" s="462">
        <f t="shared" si="62"/>
        <v>0</v>
      </c>
      <c r="J173" s="463"/>
      <c r="K173" s="462"/>
      <c r="L173" s="462">
        <f t="shared" si="63"/>
        <v>0</v>
      </c>
      <c r="M173" s="463"/>
      <c r="N173" s="463"/>
      <c r="O173" s="463"/>
      <c r="P173" s="463"/>
      <c r="Q173" s="463"/>
      <c r="R173" s="398"/>
    </row>
    <row r="174" spans="2:18" x14ac:dyDescent="0.3">
      <c r="B174" s="568">
        <f t="shared" si="64"/>
        <v>4.4999999999999982</v>
      </c>
      <c r="C174" s="414" t="s">
        <v>32</v>
      </c>
      <c r="D174" s="462"/>
      <c r="E174" s="462">
        <f>+E170-E171+E172-E173</f>
        <v>0</v>
      </c>
      <c r="F174" s="462">
        <f t="shared" si="61"/>
        <v>0</v>
      </c>
      <c r="G174" s="462"/>
      <c r="H174" s="462">
        <f>+H170-H171+H172-H173</f>
        <v>0</v>
      </c>
      <c r="I174" s="462">
        <f t="shared" si="62"/>
        <v>0</v>
      </c>
      <c r="J174" s="463"/>
      <c r="K174" s="463">
        <f>+J170-J171+J172-J173</f>
        <v>0</v>
      </c>
      <c r="L174" s="462">
        <f t="shared" si="63"/>
        <v>0</v>
      </c>
      <c r="M174" s="463"/>
      <c r="N174" s="463">
        <f>+M170-M171+M172-M173</f>
        <v>0</v>
      </c>
      <c r="O174" s="463"/>
      <c r="P174" s="463"/>
      <c r="Q174" s="463">
        <f>+O170-O171+O172-O173</f>
        <v>0</v>
      </c>
      <c r="R174" s="398"/>
    </row>
    <row r="175" spans="2:18" x14ac:dyDescent="0.3">
      <c r="B175" s="568">
        <f t="shared" si="64"/>
        <v>4.5999999999999979</v>
      </c>
      <c r="C175" s="414" t="s">
        <v>469</v>
      </c>
      <c r="D175" s="462"/>
      <c r="E175" s="740">
        <f>AVERAGE(E170,E174)</f>
        <v>0</v>
      </c>
      <c r="F175" s="462">
        <f t="shared" si="61"/>
        <v>0</v>
      </c>
      <c r="G175" s="462"/>
      <c r="H175" s="740">
        <f>AVERAGE(H170,H174)</f>
        <v>0</v>
      </c>
      <c r="I175" s="462">
        <f t="shared" si="62"/>
        <v>0</v>
      </c>
      <c r="J175" s="463"/>
      <c r="K175" s="462"/>
      <c r="L175" s="462">
        <f t="shared" si="63"/>
        <v>0</v>
      </c>
      <c r="M175" s="463"/>
      <c r="N175" s="463"/>
      <c r="O175" s="463"/>
      <c r="P175" s="463"/>
      <c r="Q175" s="463"/>
      <c r="R175" s="398"/>
    </row>
    <row r="176" spans="2:18" s="564" customFormat="1" x14ac:dyDescent="0.3">
      <c r="B176" s="572">
        <f t="shared" si="64"/>
        <v>4.6999999999999975</v>
      </c>
      <c r="C176" s="560" t="s">
        <v>33</v>
      </c>
      <c r="D176" s="561"/>
      <c r="E176" s="561">
        <f>IFERROR(E177/E175,0)</f>
        <v>0</v>
      </c>
      <c r="F176" s="561">
        <f t="shared" si="61"/>
        <v>0</v>
      </c>
      <c r="G176" s="561"/>
      <c r="H176" s="561">
        <f>IFERROR(H177/H175,0)</f>
        <v>0</v>
      </c>
      <c r="I176" s="561" t="e">
        <f>I177/I175</f>
        <v>#DIV/0!</v>
      </c>
      <c r="J176" s="562"/>
      <c r="K176" s="562" t="e">
        <f>J177/K175</f>
        <v>#DIV/0!</v>
      </c>
      <c r="L176" s="561" t="e">
        <f>L177/L175</f>
        <v>#DIV/0!</v>
      </c>
      <c r="M176" s="562"/>
      <c r="N176" s="562" t="e">
        <f>M177/N175</f>
        <v>#DIV/0!</v>
      </c>
      <c r="O176" s="562"/>
      <c r="P176" s="562"/>
      <c r="Q176" s="562" t="e">
        <f>O177/Q175</f>
        <v>#DIV/0!</v>
      </c>
      <c r="R176" s="563"/>
    </row>
    <row r="177" spans="2:18" x14ac:dyDescent="0.3">
      <c r="B177" s="568">
        <f t="shared" si="64"/>
        <v>4.7999999999999972</v>
      </c>
      <c r="C177" s="414" t="s">
        <v>34</v>
      </c>
      <c r="D177" s="462"/>
      <c r="E177" s="462">
        <v>0</v>
      </c>
      <c r="F177" s="462">
        <f t="shared" si="61"/>
        <v>0</v>
      </c>
      <c r="G177" s="462"/>
      <c r="H177" s="462">
        <v>0</v>
      </c>
      <c r="I177" s="462">
        <f t="shared" si="62"/>
        <v>0</v>
      </c>
      <c r="J177" s="463"/>
      <c r="K177" s="462"/>
      <c r="L177" s="462">
        <f t="shared" si="63"/>
        <v>0</v>
      </c>
      <c r="M177" s="463"/>
      <c r="N177" s="463"/>
      <c r="O177" s="463"/>
      <c r="P177" s="463"/>
      <c r="Q177" s="463"/>
      <c r="R177" s="398"/>
    </row>
    <row r="178" spans="2:18" x14ac:dyDescent="0.3">
      <c r="B178" s="570"/>
      <c r="C178" s="415"/>
      <c r="D178" s="462"/>
      <c r="E178" s="462"/>
      <c r="F178" s="462"/>
      <c r="G178" s="462"/>
      <c r="H178" s="462"/>
      <c r="I178" s="462"/>
      <c r="J178" s="463"/>
      <c r="K178" s="462"/>
      <c r="L178" s="462"/>
      <c r="M178" s="463"/>
      <c r="N178" s="463"/>
      <c r="O178" s="463"/>
      <c r="P178" s="463"/>
      <c r="Q178" s="463"/>
      <c r="R178" s="398"/>
    </row>
    <row r="179" spans="2:18" x14ac:dyDescent="0.3">
      <c r="B179" s="570">
        <v>5</v>
      </c>
      <c r="C179" s="415" t="s">
        <v>1659</v>
      </c>
      <c r="D179" s="462"/>
      <c r="E179" s="462"/>
      <c r="F179" s="462"/>
      <c r="G179" s="462"/>
      <c r="H179" s="462"/>
      <c r="I179" s="462"/>
      <c r="J179" s="463"/>
      <c r="K179" s="462"/>
      <c r="L179" s="462"/>
      <c r="M179" s="463"/>
      <c r="N179" s="463"/>
      <c r="O179" s="463"/>
      <c r="P179" s="463"/>
      <c r="Q179" s="463"/>
      <c r="R179" s="398"/>
    </row>
    <row r="180" spans="2:18" x14ac:dyDescent="0.3">
      <c r="B180" s="568">
        <f>B179+0.1</f>
        <v>5.0999999999999996</v>
      </c>
      <c r="C180" s="414" t="s">
        <v>30</v>
      </c>
      <c r="D180" s="462"/>
      <c r="E180" s="462">
        <v>0.13354113552376901</v>
      </c>
      <c r="F180" s="462">
        <f t="shared" ref="F180:F187" si="65">E180-D180</f>
        <v>0.13354113552376901</v>
      </c>
      <c r="G180" s="462"/>
      <c r="H180" s="462">
        <v>3.5523769010836758E-8</v>
      </c>
      <c r="I180" s="462">
        <f t="shared" ref="I180:I187" si="66">H180-G180</f>
        <v>3.5523769010836758E-8</v>
      </c>
      <c r="J180" s="463"/>
      <c r="K180" s="462"/>
      <c r="L180" s="462">
        <f t="shared" ref="L180:L187" si="67">K180-J180</f>
        <v>0</v>
      </c>
      <c r="M180" s="463"/>
      <c r="N180" s="463"/>
      <c r="O180" s="463"/>
      <c r="P180" s="463"/>
      <c r="Q180" s="463"/>
      <c r="R180" s="398"/>
    </row>
    <row r="181" spans="2:18" x14ac:dyDescent="0.3">
      <c r="B181" s="568">
        <f t="shared" ref="B181:B187" si="68">B180+0.1</f>
        <v>5.1999999999999993</v>
      </c>
      <c r="C181" s="414" t="s">
        <v>400</v>
      </c>
      <c r="D181" s="462"/>
      <c r="E181" s="462">
        <v>0</v>
      </c>
      <c r="F181" s="462">
        <f t="shared" si="65"/>
        <v>0</v>
      </c>
      <c r="G181" s="462"/>
      <c r="H181" s="462">
        <v>0</v>
      </c>
      <c r="I181" s="462">
        <f t="shared" si="66"/>
        <v>0</v>
      </c>
      <c r="J181" s="463"/>
      <c r="K181" s="462"/>
      <c r="L181" s="462">
        <f t="shared" si="67"/>
        <v>0</v>
      </c>
      <c r="M181" s="463"/>
      <c r="N181" s="463"/>
      <c r="O181" s="463"/>
      <c r="P181" s="463"/>
      <c r="Q181" s="463"/>
      <c r="R181" s="398"/>
    </row>
    <row r="182" spans="2:18" x14ac:dyDescent="0.3">
      <c r="B182" s="568">
        <f t="shared" si="68"/>
        <v>5.2999999999999989</v>
      </c>
      <c r="C182" s="414" t="s">
        <v>342</v>
      </c>
      <c r="D182" s="462"/>
      <c r="E182" s="462">
        <v>0</v>
      </c>
      <c r="F182" s="462">
        <f t="shared" si="65"/>
        <v>0</v>
      </c>
      <c r="G182" s="462"/>
      <c r="H182" s="462">
        <v>0</v>
      </c>
      <c r="I182" s="462">
        <f t="shared" si="66"/>
        <v>0</v>
      </c>
      <c r="J182" s="463"/>
      <c r="K182" s="462"/>
      <c r="L182" s="462">
        <f t="shared" si="67"/>
        <v>0</v>
      </c>
      <c r="M182" s="463"/>
      <c r="N182" s="463"/>
      <c r="O182" s="463"/>
      <c r="P182" s="463"/>
      <c r="Q182" s="463"/>
      <c r="R182" s="398"/>
    </row>
    <row r="183" spans="2:18" x14ac:dyDescent="0.3">
      <c r="B183" s="568">
        <f t="shared" si="68"/>
        <v>5.3999999999999986</v>
      </c>
      <c r="C183" s="414" t="s">
        <v>31</v>
      </c>
      <c r="D183" s="462"/>
      <c r="E183" s="462">
        <v>0.1335411</v>
      </c>
      <c r="F183" s="462">
        <f t="shared" si="65"/>
        <v>0.1335411</v>
      </c>
      <c r="G183" s="462"/>
      <c r="H183" s="462">
        <v>0</v>
      </c>
      <c r="I183" s="462">
        <f t="shared" si="66"/>
        <v>0</v>
      </c>
      <c r="J183" s="463"/>
      <c r="K183" s="462"/>
      <c r="L183" s="462">
        <f t="shared" si="67"/>
        <v>0</v>
      </c>
      <c r="M183" s="463"/>
      <c r="N183" s="463"/>
      <c r="O183" s="463"/>
      <c r="P183" s="463"/>
      <c r="Q183" s="463"/>
      <c r="R183" s="398"/>
    </row>
    <row r="184" spans="2:18" x14ac:dyDescent="0.3">
      <c r="B184" s="568">
        <f t="shared" si="68"/>
        <v>5.4999999999999982</v>
      </c>
      <c r="C184" s="414" t="s">
        <v>32</v>
      </c>
      <c r="D184" s="462"/>
      <c r="E184" s="462">
        <f>+E180-E181+E182-E183</f>
        <v>3.5523769009726536E-8</v>
      </c>
      <c r="F184" s="462">
        <f t="shared" si="65"/>
        <v>3.5523769009726536E-8</v>
      </c>
      <c r="G184" s="462"/>
      <c r="H184" s="462">
        <f>+H180-H181+H182-H183</f>
        <v>3.5523769010836758E-8</v>
      </c>
      <c r="I184" s="462">
        <f t="shared" si="66"/>
        <v>3.5523769010836758E-8</v>
      </c>
      <c r="J184" s="463"/>
      <c r="K184" s="463">
        <f>+J180-J181+J182-J183</f>
        <v>0</v>
      </c>
      <c r="L184" s="462">
        <f t="shared" si="67"/>
        <v>0</v>
      </c>
      <c r="M184" s="463"/>
      <c r="N184" s="463">
        <f>+M180-M181+M182-M183</f>
        <v>0</v>
      </c>
      <c r="O184" s="463"/>
      <c r="P184" s="463"/>
      <c r="Q184" s="463">
        <f>+O180-O181+O182-O183</f>
        <v>0</v>
      </c>
      <c r="R184" s="398"/>
    </row>
    <row r="185" spans="2:18" x14ac:dyDescent="0.3">
      <c r="B185" s="568">
        <f t="shared" si="68"/>
        <v>5.5999999999999979</v>
      </c>
      <c r="C185" s="414" t="s">
        <v>469</v>
      </c>
      <c r="D185" s="462"/>
      <c r="E185" s="740">
        <f>AVERAGE(E180,E184)</f>
        <v>6.6770585523769008E-2</v>
      </c>
      <c r="F185" s="462">
        <f t="shared" si="65"/>
        <v>6.6770585523769008E-2</v>
      </c>
      <c r="G185" s="462"/>
      <c r="H185" s="740">
        <f>AVERAGE(H180,H184)</f>
        <v>3.5523769010836758E-8</v>
      </c>
      <c r="I185" s="462">
        <f t="shared" si="66"/>
        <v>3.5523769010836758E-8</v>
      </c>
      <c r="J185" s="463"/>
      <c r="K185" s="462"/>
      <c r="L185" s="462">
        <f t="shared" si="67"/>
        <v>0</v>
      </c>
      <c r="M185" s="463"/>
      <c r="N185" s="463"/>
      <c r="O185" s="463"/>
      <c r="P185" s="463"/>
      <c r="Q185" s="463"/>
      <c r="R185" s="398"/>
    </row>
    <row r="186" spans="2:18" s="564" customFormat="1" x14ac:dyDescent="0.3">
      <c r="B186" s="572">
        <f t="shared" si="68"/>
        <v>5.6999999999999975</v>
      </c>
      <c r="C186" s="560" t="s">
        <v>33</v>
      </c>
      <c r="D186" s="561"/>
      <c r="E186" s="561">
        <f>IFERROR(E187/E185,0)</f>
        <v>1.9053300042533278E-4</v>
      </c>
      <c r="F186" s="561">
        <f>F187/F185</f>
        <v>1.9053300042533278E-4</v>
      </c>
      <c r="G186" s="561"/>
      <c r="H186" s="561">
        <f>IFERROR(H187/H185,0)</f>
        <v>0</v>
      </c>
      <c r="I186" s="561">
        <f>I187/I185</f>
        <v>0</v>
      </c>
      <c r="J186" s="562"/>
      <c r="K186" s="562" t="e">
        <f>J187/K185</f>
        <v>#DIV/0!</v>
      </c>
      <c r="L186" s="561" t="e">
        <f>L187/L185</f>
        <v>#DIV/0!</v>
      </c>
      <c r="M186" s="562"/>
      <c r="N186" s="562" t="e">
        <f>M187/N185</f>
        <v>#DIV/0!</v>
      </c>
      <c r="O186" s="562"/>
      <c r="P186" s="562"/>
      <c r="Q186" s="562" t="e">
        <f>O187/Q185</f>
        <v>#DIV/0!</v>
      </c>
      <c r="R186" s="563"/>
    </row>
    <row r="187" spans="2:18" x14ac:dyDescent="0.3">
      <c r="B187" s="568">
        <f t="shared" si="68"/>
        <v>5.7999999999999972</v>
      </c>
      <c r="C187" s="414" t="s">
        <v>34</v>
      </c>
      <c r="D187" s="462"/>
      <c r="E187" s="462">
        <v>1.2721999999999999E-5</v>
      </c>
      <c r="F187" s="462">
        <f t="shared" si="65"/>
        <v>1.2721999999999999E-5</v>
      </c>
      <c r="G187" s="462"/>
      <c r="H187" s="462">
        <v>0</v>
      </c>
      <c r="I187" s="462">
        <f t="shared" si="66"/>
        <v>0</v>
      </c>
      <c r="J187" s="463"/>
      <c r="K187" s="462"/>
      <c r="L187" s="462">
        <f t="shared" si="67"/>
        <v>0</v>
      </c>
      <c r="M187" s="463"/>
      <c r="N187" s="463"/>
      <c r="O187" s="463"/>
      <c r="P187" s="463"/>
      <c r="Q187" s="463"/>
      <c r="R187" s="398"/>
    </row>
    <row r="188" spans="2:18" x14ac:dyDescent="0.3">
      <c r="B188" s="570"/>
      <c r="C188" s="415"/>
      <c r="D188" s="462"/>
      <c r="E188" s="462"/>
      <c r="F188" s="462"/>
      <c r="G188" s="462"/>
      <c r="H188" s="462"/>
      <c r="I188" s="462"/>
      <c r="J188" s="463"/>
      <c r="K188" s="462"/>
      <c r="L188" s="462"/>
      <c r="M188" s="463"/>
      <c r="N188" s="463"/>
      <c r="O188" s="463"/>
      <c r="P188" s="463"/>
      <c r="Q188" s="463"/>
      <c r="R188" s="398"/>
    </row>
    <row r="189" spans="2:18" x14ac:dyDescent="0.3">
      <c r="B189" s="570">
        <v>6</v>
      </c>
      <c r="C189" s="415" t="s">
        <v>1660</v>
      </c>
      <c r="D189" s="462"/>
      <c r="E189" s="462"/>
      <c r="F189" s="462"/>
      <c r="G189" s="462"/>
      <c r="H189" s="462"/>
      <c r="I189" s="462"/>
      <c r="J189" s="463"/>
      <c r="K189" s="462"/>
      <c r="L189" s="462"/>
      <c r="M189" s="463"/>
      <c r="N189" s="463"/>
      <c r="O189" s="463"/>
      <c r="P189" s="463"/>
      <c r="Q189" s="463"/>
      <c r="R189" s="398"/>
    </row>
    <row r="190" spans="2:18" x14ac:dyDescent="0.3">
      <c r="B190" s="568">
        <f>B189+0.1</f>
        <v>6.1</v>
      </c>
      <c r="C190" s="414" t="s">
        <v>30</v>
      </c>
      <c r="D190" s="462"/>
      <c r="E190" s="462">
        <v>0</v>
      </c>
      <c r="F190" s="462">
        <f t="shared" ref="F190:F197" si="69">E190-D190</f>
        <v>0</v>
      </c>
      <c r="G190" s="462"/>
      <c r="H190" s="462">
        <v>0</v>
      </c>
      <c r="I190" s="462">
        <f t="shared" ref="I190:I197" si="70">H190-G190</f>
        <v>0</v>
      </c>
      <c r="J190" s="463"/>
      <c r="K190" s="462"/>
      <c r="L190" s="462">
        <f t="shared" ref="L190:L197" si="71">K190-J190</f>
        <v>0</v>
      </c>
      <c r="M190" s="463"/>
      <c r="N190" s="463"/>
      <c r="O190" s="463"/>
      <c r="P190" s="463"/>
      <c r="Q190" s="463"/>
      <c r="R190" s="398"/>
    </row>
    <row r="191" spans="2:18" x14ac:dyDescent="0.3">
      <c r="B191" s="568">
        <f t="shared" ref="B191:B197" si="72">B190+0.1</f>
        <v>6.1999999999999993</v>
      </c>
      <c r="C191" s="414" t="s">
        <v>400</v>
      </c>
      <c r="D191" s="462"/>
      <c r="E191" s="462">
        <v>0</v>
      </c>
      <c r="F191" s="462">
        <f t="shared" si="69"/>
        <v>0</v>
      </c>
      <c r="G191" s="462"/>
      <c r="H191" s="462">
        <v>0</v>
      </c>
      <c r="I191" s="462">
        <f t="shared" si="70"/>
        <v>0</v>
      </c>
      <c r="J191" s="463"/>
      <c r="K191" s="462"/>
      <c r="L191" s="462">
        <f t="shared" si="71"/>
        <v>0</v>
      </c>
      <c r="M191" s="463"/>
      <c r="N191" s="463"/>
      <c r="O191" s="463"/>
      <c r="P191" s="463"/>
      <c r="Q191" s="463"/>
      <c r="R191" s="398"/>
    </row>
    <row r="192" spans="2:18" x14ac:dyDescent="0.3">
      <c r="B192" s="568">
        <f t="shared" si="72"/>
        <v>6.2999999999999989</v>
      </c>
      <c r="C192" s="414" t="s">
        <v>342</v>
      </c>
      <c r="D192" s="462"/>
      <c r="E192" s="462">
        <v>0</v>
      </c>
      <c r="F192" s="462">
        <f t="shared" si="69"/>
        <v>0</v>
      </c>
      <c r="G192" s="462"/>
      <c r="H192" s="462">
        <v>0</v>
      </c>
      <c r="I192" s="462">
        <f t="shared" si="70"/>
        <v>0</v>
      </c>
      <c r="J192" s="463"/>
      <c r="K192" s="462"/>
      <c r="L192" s="462">
        <f t="shared" si="71"/>
        <v>0</v>
      </c>
      <c r="M192" s="463"/>
      <c r="N192" s="463"/>
      <c r="O192" s="463"/>
      <c r="P192" s="463"/>
      <c r="Q192" s="463"/>
      <c r="R192" s="398"/>
    </row>
    <row r="193" spans="2:18" x14ac:dyDescent="0.3">
      <c r="B193" s="568">
        <f t="shared" si="72"/>
        <v>6.3999999999999986</v>
      </c>
      <c r="C193" s="414" t="s">
        <v>31</v>
      </c>
      <c r="D193" s="462"/>
      <c r="E193" s="462">
        <v>0</v>
      </c>
      <c r="F193" s="462">
        <f t="shared" si="69"/>
        <v>0</v>
      </c>
      <c r="G193" s="462"/>
      <c r="H193" s="462">
        <v>0</v>
      </c>
      <c r="I193" s="462">
        <f t="shared" si="70"/>
        <v>0</v>
      </c>
      <c r="J193" s="463"/>
      <c r="K193" s="462"/>
      <c r="L193" s="462">
        <f t="shared" si="71"/>
        <v>0</v>
      </c>
      <c r="M193" s="463"/>
      <c r="N193" s="463"/>
      <c r="O193" s="463"/>
      <c r="P193" s="463"/>
      <c r="Q193" s="463"/>
      <c r="R193" s="398"/>
    </row>
    <row r="194" spans="2:18" x14ac:dyDescent="0.3">
      <c r="B194" s="568">
        <f t="shared" si="72"/>
        <v>6.4999999999999982</v>
      </c>
      <c r="C194" s="414" t="s">
        <v>32</v>
      </c>
      <c r="D194" s="462"/>
      <c r="E194" s="462">
        <f>+E190-E191+E192-E193</f>
        <v>0</v>
      </c>
      <c r="F194" s="462">
        <f t="shared" si="69"/>
        <v>0</v>
      </c>
      <c r="G194" s="462"/>
      <c r="H194" s="462">
        <f>+H190-H191+H192-H193</f>
        <v>0</v>
      </c>
      <c r="I194" s="462">
        <f t="shared" si="70"/>
        <v>0</v>
      </c>
      <c r="J194" s="463"/>
      <c r="K194" s="463">
        <f>+J190-J191+J192-J193</f>
        <v>0</v>
      </c>
      <c r="L194" s="462">
        <f t="shared" si="71"/>
        <v>0</v>
      </c>
      <c r="M194" s="463"/>
      <c r="N194" s="463">
        <f>+M190-M191+M192-M193</f>
        <v>0</v>
      </c>
      <c r="O194" s="463"/>
      <c r="P194" s="463"/>
      <c r="Q194" s="463">
        <f>+O190-O191+O192-O193</f>
        <v>0</v>
      </c>
      <c r="R194" s="398"/>
    </row>
    <row r="195" spans="2:18" x14ac:dyDescent="0.3">
      <c r="B195" s="568">
        <f t="shared" si="72"/>
        <v>6.5999999999999979</v>
      </c>
      <c r="C195" s="414" t="s">
        <v>469</v>
      </c>
      <c r="D195" s="462"/>
      <c r="E195" s="740">
        <f>AVERAGE(E190,E194)</f>
        <v>0</v>
      </c>
      <c r="F195" s="462">
        <f t="shared" si="69"/>
        <v>0</v>
      </c>
      <c r="G195" s="462"/>
      <c r="H195" s="740">
        <f>AVERAGE(H190,H194)</f>
        <v>0</v>
      </c>
      <c r="I195" s="462">
        <f t="shared" si="70"/>
        <v>0</v>
      </c>
      <c r="J195" s="463"/>
      <c r="K195" s="462"/>
      <c r="L195" s="462">
        <f t="shared" si="71"/>
        <v>0</v>
      </c>
      <c r="M195" s="463"/>
      <c r="N195" s="463"/>
      <c r="O195" s="463"/>
      <c r="P195" s="463"/>
      <c r="Q195" s="463"/>
      <c r="R195" s="398"/>
    </row>
    <row r="196" spans="2:18" s="564" customFormat="1" x14ac:dyDescent="0.3">
      <c r="B196" s="572">
        <f t="shared" si="72"/>
        <v>6.6999999999999975</v>
      </c>
      <c r="C196" s="560" t="s">
        <v>33</v>
      </c>
      <c r="D196" s="561"/>
      <c r="E196" s="561">
        <f>IFERROR(E197/E195,0)</f>
        <v>0</v>
      </c>
      <c r="F196" s="561" t="e">
        <f>F197/F195</f>
        <v>#DIV/0!</v>
      </c>
      <c r="G196" s="561"/>
      <c r="H196" s="561">
        <f>IFERROR(H197/H195,0)</f>
        <v>0</v>
      </c>
      <c r="I196" s="561" t="e">
        <f>I197/I195</f>
        <v>#DIV/0!</v>
      </c>
      <c r="J196" s="562"/>
      <c r="K196" s="562" t="e">
        <f>J197/K195</f>
        <v>#DIV/0!</v>
      </c>
      <c r="L196" s="561" t="e">
        <f>L197/L195</f>
        <v>#DIV/0!</v>
      </c>
      <c r="M196" s="562"/>
      <c r="N196" s="562" t="e">
        <f>M197/N195</f>
        <v>#DIV/0!</v>
      </c>
      <c r="O196" s="562"/>
      <c r="P196" s="562"/>
      <c r="Q196" s="562" t="e">
        <f>O197/Q195</f>
        <v>#DIV/0!</v>
      </c>
      <c r="R196" s="563"/>
    </row>
    <row r="197" spans="2:18" x14ac:dyDescent="0.3">
      <c r="B197" s="568">
        <f t="shared" si="72"/>
        <v>6.7999999999999972</v>
      </c>
      <c r="C197" s="414" t="s">
        <v>34</v>
      </c>
      <c r="D197" s="462"/>
      <c r="E197" s="462">
        <v>0</v>
      </c>
      <c r="F197" s="462">
        <f t="shared" si="69"/>
        <v>0</v>
      </c>
      <c r="G197" s="462"/>
      <c r="H197" s="462">
        <v>0</v>
      </c>
      <c r="I197" s="462">
        <f t="shared" si="70"/>
        <v>0</v>
      </c>
      <c r="J197" s="463"/>
      <c r="K197" s="462"/>
      <c r="L197" s="462">
        <f t="shared" si="71"/>
        <v>0</v>
      </c>
      <c r="M197" s="463"/>
      <c r="N197" s="463"/>
      <c r="O197" s="463"/>
      <c r="P197" s="463"/>
      <c r="Q197" s="463"/>
      <c r="R197" s="398"/>
    </row>
    <row r="198" spans="2:18" x14ac:dyDescent="0.3">
      <c r="B198" s="570"/>
      <c r="C198" s="415"/>
      <c r="D198" s="462"/>
      <c r="E198" s="462"/>
      <c r="F198" s="462"/>
      <c r="G198" s="462"/>
      <c r="H198" s="462"/>
      <c r="I198" s="462"/>
      <c r="J198" s="463"/>
      <c r="K198" s="462"/>
      <c r="L198" s="462"/>
      <c r="M198" s="463"/>
      <c r="N198" s="463"/>
      <c r="O198" s="463"/>
      <c r="P198" s="463"/>
      <c r="Q198" s="463"/>
      <c r="R198" s="398"/>
    </row>
    <row r="199" spans="2:18" x14ac:dyDescent="0.3">
      <c r="B199" s="570">
        <v>7</v>
      </c>
      <c r="C199" s="415" t="s">
        <v>1654</v>
      </c>
      <c r="D199" s="462"/>
      <c r="E199" s="462"/>
      <c r="F199" s="462"/>
      <c r="G199" s="462"/>
      <c r="H199" s="462"/>
      <c r="I199" s="462"/>
      <c r="J199" s="463"/>
      <c r="K199" s="462"/>
      <c r="L199" s="462"/>
      <c r="M199" s="463"/>
      <c r="N199" s="463"/>
      <c r="O199" s="463"/>
      <c r="P199" s="463"/>
      <c r="Q199" s="463"/>
      <c r="R199" s="398"/>
    </row>
    <row r="200" spans="2:18" x14ac:dyDescent="0.3">
      <c r="B200" s="568">
        <f>B199+0.1</f>
        <v>7.1</v>
      </c>
      <c r="C200" s="414" t="s">
        <v>30</v>
      </c>
      <c r="D200" s="462"/>
      <c r="E200" s="462">
        <v>0</v>
      </c>
      <c r="F200" s="462">
        <f t="shared" ref="F200:F207" si="73">E200-D200</f>
        <v>0</v>
      </c>
      <c r="G200" s="462"/>
      <c r="H200" s="462">
        <v>0</v>
      </c>
      <c r="I200" s="462">
        <f t="shared" ref="I200:I207" si="74">H200-G200</f>
        <v>0</v>
      </c>
      <c r="J200" s="463"/>
      <c r="K200" s="462"/>
      <c r="L200" s="462">
        <f t="shared" ref="L200:L207" si="75">K200-J200</f>
        <v>0</v>
      </c>
      <c r="M200" s="463"/>
      <c r="N200" s="463"/>
      <c r="O200" s="463"/>
      <c r="P200" s="463"/>
      <c r="Q200" s="463"/>
      <c r="R200" s="398"/>
    </row>
    <row r="201" spans="2:18" x14ac:dyDescent="0.3">
      <c r="B201" s="568">
        <f t="shared" ref="B201:B207" si="76">B200+0.1</f>
        <v>7.1999999999999993</v>
      </c>
      <c r="C201" s="414" t="s">
        <v>400</v>
      </c>
      <c r="D201" s="462"/>
      <c r="E201" s="462">
        <v>0</v>
      </c>
      <c r="F201" s="462">
        <f t="shared" si="73"/>
        <v>0</v>
      </c>
      <c r="G201" s="462"/>
      <c r="H201" s="462">
        <v>0</v>
      </c>
      <c r="I201" s="462">
        <f t="shared" si="74"/>
        <v>0</v>
      </c>
      <c r="J201" s="463"/>
      <c r="K201" s="462"/>
      <c r="L201" s="462">
        <f t="shared" si="75"/>
        <v>0</v>
      </c>
      <c r="M201" s="463"/>
      <c r="N201" s="463"/>
      <c r="O201" s="463"/>
      <c r="P201" s="463"/>
      <c r="Q201" s="463"/>
      <c r="R201" s="398"/>
    </row>
    <row r="202" spans="2:18" x14ac:dyDescent="0.3">
      <c r="B202" s="568">
        <f t="shared" si="76"/>
        <v>7.2999999999999989</v>
      </c>
      <c r="C202" s="414" t="s">
        <v>342</v>
      </c>
      <c r="D202" s="462"/>
      <c r="E202" s="462">
        <v>0</v>
      </c>
      <c r="F202" s="462">
        <f t="shared" si="73"/>
        <v>0</v>
      </c>
      <c r="G202" s="462"/>
      <c r="H202" s="462">
        <v>0</v>
      </c>
      <c r="I202" s="462">
        <f t="shared" si="74"/>
        <v>0</v>
      </c>
      <c r="J202" s="463"/>
      <c r="K202" s="462"/>
      <c r="L202" s="462">
        <f t="shared" si="75"/>
        <v>0</v>
      </c>
      <c r="M202" s="463"/>
      <c r="N202" s="463"/>
      <c r="O202" s="463"/>
      <c r="P202" s="463"/>
      <c r="Q202" s="463"/>
      <c r="R202" s="398"/>
    </row>
    <row r="203" spans="2:18" x14ac:dyDescent="0.3">
      <c r="B203" s="568">
        <f t="shared" si="76"/>
        <v>7.3999999999999986</v>
      </c>
      <c r="C203" s="414" t="s">
        <v>31</v>
      </c>
      <c r="D203" s="462"/>
      <c r="E203" s="462">
        <v>0</v>
      </c>
      <c r="F203" s="462">
        <f t="shared" si="73"/>
        <v>0</v>
      </c>
      <c r="G203" s="462"/>
      <c r="H203" s="462">
        <v>0</v>
      </c>
      <c r="I203" s="462">
        <f t="shared" si="74"/>
        <v>0</v>
      </c>
      <c r="J203" s="463"/>
      <c r="K203" s="462"/>
      <c r="L203" s="462">
        <f t="shared" si="75"/>
        <v>0</v>
      </c>
      <c r="M203" s="463"/>
      <c r="N203" s="463"/>
      <c r="O203" s="463"/>
      <c r="P203" s="463"/>
      <c r="Q203" s="463"/>
      <c r="R203" s="398"/>
    </row>
    <row r="204" spans="2:18" x14ac:dyDescent="0.3">
      <c r="B204" s="568">
        <f t="shared" si="76"/>
        <v>7.4999999999999982</v>
      </c>
      <c r="C204" s="414" t="s">
        <v>32</v>
      </c>
      <c r="D204" s="462"/>
      <c r="E204" s="462">
        <f>+E200-E201+E202-E203</f>
        <v>0</v>
      </c>
      <c r="F204" s="462">
        <f t="shared" si="73"/>
        <v>0</v>
      </c>
      <c r="G204" s="462"/>
      <c r="H204" s="462">
        <f>+H200-H201+H202-H203</f>
        <v>0</v>
      </c>
      <c r="I204" s="462">
        <f t="shared" si="74"/>
        <v>0</v>
      </c>
      <c r="J204" s="463"/>
      <c r="K204" s="463">
        <f>+J200-J201+J202-J203</f>
        <v>0</v>
      </c>
      <c r="L204" s="462">
        <f t="shared" si="75"/>
        <v>0</v>
      </c>
      <c r="M204" s="463"/>
      <c r="N204" s="463">
        <f>+M200-M201+M202-M203</f>
        <v>0</v>
      </c>
      <c r="O204" s="463"/>
      <c r="P204" s="463"/>
      <c r="Q204" s="463">
        <f>+O200-O201+O202-O203</f>
        <v>0</v>
      </c>
      <c r="R204" s="398"/>
    </row>
    <row r="205" spans="2:18" x14ac:dyDescent="0.3">
      <c r="B205" s="568">
        <f t="shared" si="76"/>
        <v>7.5999999999999979</v>
      </c>
      <c r="C205" s="414" t="s">
        <v>469</v>
      </c>
      <c r="D205" s="462"/>
      <c r="E205" s="740">
        <f>AVERAGE(E200,E204)</f>
        <v>0</v>
      </c>
      <c r="F205" s="462">
        <f t="shared" si="73"/>
        <v>0</v>
      </c>
      <c r="G205" s="462"/>
      <c r="H205" s="740">
        <f>AVERAGE(H200,H204)</f>
        <v>0</v>
      </c>
      <c r="I205" s="462">
        <f t="shared" si="74"/>
        <v>0</v>
      </c>
      <c r="J205" s="463"/>
      <c r="K205" s="462"/>
      <c r="L205" s="462">
        <f t="shared" si="75"/>
        <v>0</v>
      </c>
      <c r="M205" s="463"/>
      <c r="N205" s="463"/>
      <c r="O205" s="463"/>
      <c r="P205" s="463"/>
      <c r="Q205" s="463"/>
      <c r="R205" s="398"/>
    </row>
    <row r="206" spans="2:18" s="564" customFormat="1" x14ac:dyDescent="0.3">
      <c r="B206" s="572">
        <f t="shared" si="76"/>
        <v>7.6999999999999975</v>
      </c>
      <c r="C206" s="560" t="s">
        <v>33</v>
      </c>
      <c r="D206" s="561"/>
      <c r="E206" s="561">
        <f>IFERROR(E207/E205,0)</f>
        <v>0</v>
      </c>
      <c r="F206" s="561" t="e">
        <f>F207/F205</f>
        <v>#DIV/0!</v>
      </c>
      <c r="G206" s="561"/>
      <c r="H206" s="561">
        <f>IFERROR(H207/H205,0)</f>
        <v>0</v>
      </c>
      <c r="I206" s="561" t="e">
        <f>I207/I205</f>
        <v>#DIV/0!</v>
      </c>
      <c r="J206" s="562"/>
      <c r="K206" s="562" t="e">
        <f>J207/K205</f>
        <v>#DIV/0!</v>
      </c>
      <c r="L206" s="561" t="e">
        <f>L207/L205</f>
        <v>#DIV/0!</v>
      </c>
      <c r="M206" s="562"/>
      <c r="N206" s="562" t="e">
        <f>M207/N205</f>
        <v>#DIV/0!</v>
      </c>
      <c r="O206" s="562"/>
      <c r="P206" s="562"/>
      <c r="Q206" s="562" t="e">
        <f>O207/Q205</f>
        <v>#DIV/0!</v>
      </c>
      <c r="R206" s="563"/>
    </row>
    <row r="207" spans="2:18" x14ac:dyDescent="0.3">
      <c r="B207" s="568">
        <f t="shared" si="76"/>
        <v>7.7999999999999972</v>
      </c>
      <c r="C207" s="414" t="s">
        <v>34</v>
      </c>
      <c r="D207" s="462"/>
      <c r="E207" s="462">
        <v>0</v>
      </c>
      <c r="F207" s="462">
        <f t="shared" si="73"/>
        <v>0</v>
      </c>
      <c r="G207" s="462"/>
      <c r="H207" s="462">
        <v>0</v>
      </c>
      <c r="I207" s="462">
        <f t="shared" si="74"/>
        <v>0</v>
      </c>
      <c r="J207" s="463"/>
      <c r="K207" s="462"/>
      <c r="L207" s="462">
        <f t="shared" si="75"/>
        <v>0</v>
      </c>
      <c r="M207" s="463"/>
      <c r="N207" s="463"/>
      <c r="O207" s="463"/>
      <c r="P207" s="463"/>
      <c r="Q207" s="463"/>
      <c r="R207" s="398"/>
    </row>
    <row r="208" spans="2:18" x14ac:dyDescent="0.3">
      <c r="B208" s="570"/>
      <c r="C208" s="415"/>
      <c r="D208" s="462"/>
      <c r="E208" s="462"/>
      <c r="F208" s="462"/>
      <c r="G208" s="462"/>
      <c r="H208" s="462"/>
      <c r="I208" s="462"/>
      <c r="J208" s="463"/>
      <c r="K208" s="462"/>
      <c r="L208" s="462"/>
      <c r="M208" s="463"/>
      <c r="N208" s="463"/>
      <c r="O208" s="463"/>
      <c r="P208" s="463"/>
      <c r="Q208" s="463"/>
      <c r="R208" s="398"/>
    </row>
    <row r="209" spans="2:18" x14ac:dyDescent="0.3">
      <c r="B209" s="570">
        <v>8</v>
      </c>
      <c r="C209" s="415" t="s">
        <v>1655</v>
      </c>
      <c r="D209" s="462"/>
      <c r="E209" s="462"/>
      <c r="F209" s="462"/>
      <c r="G209" s="462"/>
      <c r="H209" s="462"/>
      <c r="I209" s="462"/>
      <c r="J209" s="463"/>
      <c r="K209" s="462"/>
      <c r="L209" s="462"/>
      <c r="M209" s="463"/>
      <c r="N209" s="463"/>
      <c r="O209" s="463"/>
      <c r="P209" s="463"/>
      <c r="Q209" s="463"/>
      <c r="R209" s="398"/>
    </row>
    <row r="210" spans="2:18" x14ac:dyDescent="0.3">
      <c r="B210" s="568">
        <f>B209+0.1</f>
        <v>8.1</v>
      </c>
      <c r="C210" s="414" t="s">
        <v>30</v>
      </c>
      <c r="D210" s="462"/>
      <c r="E210" s="462">
        <v>0</v>
      </c>
      <c r="F210" s="462">
        <f t="shared" ref="F210:F217" si="77">E210-D210</f>
        <v>0</v>
      </c>
      <c r="G210" s="462"/>
      <c r="H210" s="462">
        <v>0</v>
      </c>
      <c r="I210" s="462">
        <f t="shared" ref="I210:I217" si="78">H210-G210</f>
        <v>0</v>
      </c>
      <c r="J210" s="463"/>
      <c r="K210" s="462"/>
      <c r="L210" s="462">
        <f t="shared" ref="L210:L217" si="79">K210-J210</f>
        <v>0</v>
      </c>
      <c r="M210" s="463"/>
      <c r="N210" s="463"/>
      <c r="O210" s="463"/>
      <c r="P210" s="463"/>
      <c r="Q210" s="463"/>
      <c r="R210" s="398"/>
    </row>
    <row r="211" spans="2:18" x14ac:dyDescent="0.3">
      <c r="B211" s="568">
        <f t="shared" ref="B211:B217" si="80">B210+0.1</f>
        <v>8.1999999999999993</v>
      </c>
      <c r="C211" s="414" t="s">
        <v>400</v>
      </c>
      <c r="D211" s="462"/>
      <c r="E211" s="462">
        <v>0</v>
      </c>
      <c r="F211" s="462">
        <f t="shared" si="77"/>
        <v>0</v>
      </c>
      <c r="G211" s="462"/>
      <c r="H211" s="462">
        <v>0</v>
      </c>
      <c r="I211" s="462">
        <f t="shared" si="78"/>
        <v>0</v>
      </c>
      <c r="J211" s="463"/>
      <c r="K211" s="462"/>
      <c r="L211" s="462">
        <f t="shared" si="79"/>
        <v>0</v>
      </c>
      <c r="M211" s="463"/>
      <c r="N211" s="463"/>
      <c r="O211" s="463"/>
      <c r="P211" s="463"/>
      <c r="Q211" s="463"/>
      <c r="R211" s="398"/>
    </row>
    <row r="212" spans="2:18" x14ac:dyDescent="0.3">
      <c r="B212" s="568">
        <f t="shared" si="80"/>
        <v>8.2999999999999989</v>
      </c>
      <c r="C212" s="414" t="s">
        <v>342</v>
      </c>
      <c r="D212" s="462"/>
      <c r="E212" s="462">
        <v>0</v>
      </c>
      <c r="F212" s="462">
        <f t="shared" si="77"/>
        <v>0</v>
      </c>
      <c r="G212" s="462"/>
      <c r="H212" s="462">
        <v>0</v>
      </c>
      <c r="I212" s="462">
        <f t="shared" si="78"/>
        <v>0</v>
      </c>
      <c r="J212" s="463"/>
      <c r="K212" s="462"/>
      <c r="L212" s="462">
        <f t="shared" si="79"/>
        <v>0</v>
      </c>
      <c r="M212" s="463"/>
      <c r="N212" s="463"/>
      <c r="O212" s="463"/>
      <c r="P212" s="463"/>
      <c r="Q212" s="463"/>
      <c r="R212" s="398"/>
    </row>
    <row r="213" spans="2:18" x14ac:dyDescent="0.3">
      <c r="B213" s="568">
        <f t="shared" si="80"/>
        <v>8.3999999999999986</v>
      </c>
      <c r="C213" s="414" t="s">
        <v>31</v>
      </c>
      <c r="D213" s="462"/>
      <c r="E213" s="462">
        <v>0</v>
      </c>
      <c r="F213" s="462">
        <f t="shared" si="77"/>
        <v>0</v>
      </c>
      <c r="G213" s="462"/>
      <c r="H213" s="462">
        <v>0</v>
      </c>
      <c r="I213" s="462">
        <f t="shared" si="78"/>
        <v>0</v>
      </c>
      <c r="J213" s="463"/>
      <c r="K213" s="462"/>
      <c r="L213" s="462">
        <f t="shared" si="79"/>
        <v>0</v>
      </c>
      <c r="M213" s="463"/>
      <c r="N213" s="463"/>
      <c r="O213" s="463"/>
      <c r="P213" s="463"/>
      <c r="Q213" s="463"/>
      <c r="R213" s="398"/>
    </row>
    <row r="214" spans="2:18" x14ac:dyDescent="0.3">
      <c r="B214" s="568">
        <f t="shared" si="80"/>
        <v>8.4999999999999982</v>
      </c>
      <c r="C214" s="414" t="s">
        <v>32</v>
      </c>
      <c r="D214" s="462"/>
      <c r="E214" s="462">
        <f>+E210-E211+E212-E213</f>
        <v>0</v>
      </c>
      <c r="F214" s="462">
        <f t="shared" si="77"/>
        <v>0</v>
      </c>
      <c r="G214" s="462"/>
      <c r="H214" s="462">
        <f>+H210-H211+H212-H213</f>
        <v>0</v>
      </c>
      <c r="I214" s="462">
        <f t="shared" si="78"/>
        <v>0</v>
      </c>
      <c r="J214" s="463"/>
      <c r="K214" s="463">
        <f>+J210-J211+J212-J213</f>
        <v>0</v>
      </c>
      <c r="L214" s="462">
        <f t="shared" si="79"/>
        <v>0</v>
      </c>
      <c r="M214" s="463"/>
      <c r="N214" s="463">
        <f>+M210-M211+M212-M213</f>
        <v>0</v>
      </c>
      <c r="O214" s="463"/>
      <c r="P214" s="463"/>
      <c r="Q214" s="463">
        <f>+O210-O211+O212-O213</f>
        <v>0</v>
      </c>
      <c r="R214" s="398"/>
    </row>
    <row r="215" spans="2:18" x14ac:dyDescent="0.3">
      <c r="B215" s="568">
        <f t="shared" si="80"/>
        <v>8.5999999999999979</v>
      </c>
      <c r="C215" s="414" t="s">
        <v>469</v>
      </c>
      <c r="D215" s="462"/>
      <c r="E215" s="740">
        <f>AVERAGE(E210,E214)</f>
        <v>0</v>
      </c>
      <c r="F215" s="462">
        <f t="shared" si="77"/>
        <v>0</v>
      </c>
      <c r="G215" s="462"/>
      <c r="H215" s="740">
        <f>AVERAGE(H210,H214)</f>
        <v>0</v>
      </c>
      <c r="I215" s="462">
        <f t="shared" si="78"/>
        <v>0</v>
      </c>
      <c r="J215" s="463"/>
      <c r="K215" s="462"/>
      <c r="L215" s="462">
        <f t="shared" si="79"/>
        <v>0</v>
      </c>
      <c r="M215" s="463"/>
      <c r="N215" s="463"/>
      <c r="O215" s="463"/>
      <c r="P215" s="463"/>
      <c r="Q215" s="463"/>
      <c r="R215" s="398"/>
    </row>
    <row r="216" spans="2:18" s="564" customFormat="1" x14ac:dyDescent="0.3">
      <c r="B216" s="572">
        <f t="shared" si="80"/>
        <v>8.6999999999999975</v>
      </c>
      <c r="C216" s="560" t="s">
        <v>33</v>
      </c>
      <c r="D216" s="561"/>
      <c r="E216" s="561">
        <f>IFERROR(E217/E215,0)</f>
        <v>0</v>
      </c>
      <c r="F216" s="561" t="e">
        <f>F217/F215</f>
        <v>#DIV/0!</v>
      </c>
      <c r="G216" s="561"/>
      <c r="H216" s="561">
        <f>IFERROR(H217/H215,0)</f>
        <v>0</v>
      </c>
      <c r="I216" s="561" t="e">
        <f>I217/I215</f>
        <v>#DIV/0!</v>
      </c>
      <c r="J216" s="562"/>
      <c r="K216" s="562" t="e">
        <f>J217/K215</f>
        <v>#DIV/0!</v>
      </c>
      <c r="L216" s="561" t="e">
        <f>L217/L215</f>
        <v>#DIV/0!</v>
      </c>
      <c r="M216" s="562"/>
      <c r="N216" s="562" t="e">
        <f>M217/N215</f>
        <v>#DIV/0!</v>
      </c>
      <c r="O216" s="562"/>
      <c r="P216" s="562"/>
      <c r="Q216" s="562" t="e">
        <f>O217/Q215</f>
        <v>#DIV/0!</v>
      </c>
      <c r="R216" s="563"/>
    </row>
    <row r="217" spans="2:18" x14ac:dyDescent="0.3">
      <c r="B217" s="568">
        <f t="shared" si="80"/>
        <v>8.7999999999999972</v>
      </c>
      <c r="C217" s="414" t="s">
        <v>34</v>
      </c>
      <c r="D217" s="462"/>
      <c r="E217" s="462">
        <v>0</v>
      </c>
      <c r="F217" s="462">
        <f t="shared" si="77"/>
        <v>0</v>
      </c>
      <c r="G217" s="462"/>
      <c r="H217" s="462">
        <v>0</v>
      </c>
      <c r="I217" s="462">
        <f t="shared" si="78"/>
        <v>0</v>
      </c>
      <c r="J217" s="463"/>
      <c r="K217" s="462"/>
      <c r="L217" s="462">
        <f t="shared" si="79"/>
        <v>0</v>
      </c>
      <c r="M217" s="463"/>
      <c r="N217" s="463"/>
      <c r="O217" s="463"/>
      <c r="P217" s="463"/>
      <c r="Q217" s="463"/>
      <c r="R217" s="398"/>
    </row>
    <row r="218" spans="2:18" x14ac:dyDescent="0.3">
      <c r="B218" s="568"/>
      <c r="C218" s="414"/>
      <c r="D218" s="462"/>
      <c r="E218" s="462"/>
      <c r="F218" s="462"/>
      <c r="G218" s="462"/>
      <c r="H218" s="462"/>
      <c r="I218" s="462"/>
      <c r="J218" s="463"/>
      <c r="K218" s="462"/>
      <c r="L218" s="462"/>
      <c r="M218" s="463"/>
      <c r="N218" s="463"/>
      <c r="O218" s="463"/>
      <c r="P218" s="463"/>
      <c r="Q218" s="463"/>
      <c r="R218" s="398"/>
    </row>
    <row r="219" spans="2:18" s="22" customFormat="1" x14ac:dyDescent="0.3">
      <c r="B219" s="570">
        <v>9</v>
      </c>
      <c r="C219" s="415" t="s">
        <v>1656</v>
      </c>
      <c r="D219" s="462"/>
      <c r="E219" s="462"/>
      <c r="F219" s="462"/>
      <c r="G219" s="462"/>
      <c r="H219" s="462"/>
      <c r="I219" s="462"/>
      <c r="J219" s="463"/>
      <c r="K219" s="462"/>
      <c r="L219" s="462"/>
      <c r="M219" s="463"/>
      <c r="N219" s="463"/>
      <c r="O219" s="463"/>
      <c r="P219" s="463"/>
      <c r="Q219" s="463"/>
      <c r="R219" s="410"/>
    </row>
    <row r="220" spans="2:18" x14ac:dyDescent="0.3">
      <c r="B220" s="568">
        <f>B219+0.1</f>
        <v>9.1</v>
      </c>
      <c r="C220" s="414" t="s">
        <v>30</v>
      </c>
      <c r="D220" s="462"/>
      <c r="E220" s="462">
        <v>0</v>
      </c>
      <c r="F220" s="462">
        <f t="shared" ref="F220:F227" si="81">E220-D220</f>
        <v>0</v>
      </c>
      <c r="G220" s="462"/>
      <c r="H220" s="462">
        <v>0</v>
      </c>
      <c r="I220" s="462">
        <f t="shared" ref="I220:I227" si="82">H220-G220</f>
        <v>0</v>
      </c>
      <c r="J220" s="463"/>
      <c r="K220" s="462"/>
      <c r="L220" s="462">
        <f t="shared" ref="L220:L227" si="83">K220-J220</f>
        <v>0</v>
      </c>
      <c r="M220" s="463"/>
      <c r="N220" s="463"/>
      <c r="O220" s="463"/>
      <c r="P220" s="463"/>
      <c r="Q220" s="463"/>
      <c r="R220" s="398"/>
    </row>
    <row r="221" spans="2:18" x14ac:dyDescent="0.3">
      <c r="B221" s="568">
        <f t="shared" ref="B221:B227" si="84">B220+0.1</f>
        <v>9.1999999999999993</v>
      </c>
      <c r="C221" s="414" t="s">
        <v>400</v>
      </c>
      <c r="D221" s="462"/>
      <c r="E221" s="462">
        <v>0</v>
      </c>
      <c r="F221" s="462">
        <f t="shared" si="81"/>
        <v>0</v>
      </c>
      <c r="G221" s="462"/>
      <c r="H221" s="462">
        <v>0</v>
      </c>
      <c r="I221" s="462">
        <f t="shared" si="82"/>
        <v>0</v>
      </c>
      <c r="J221" s="463"/>
      <c r="K221" s="462"/>
      <c r="L221" s="462">
        <f t="shared" si="83"/>
        <v>0</v>
      </c>
      <c r="M221" s="463"/>
      <c r="N221" s="463"/>
      <c r="O221" s="463"/>
      <c r="P221" s="463"/>
      <c r="Q221" s="463"/>
      <c r="R221" s="398"/>
    </row>
    <row r="222" spans="2:18" x14ac:dyDescent="0.3">
      <c r="B222" s="568">
        <f t="shared" si="84"/>
        <v>9.2999999999999989</v>
      </c>
      <c r="C222" s="414" t="s">
        <v>342</v>
      </c>
      <c r="D222" s="462"/>
      <c r="E222" s="462">
        <v>0</v>
      </c>
      <c r="F222" s="462">
        <f t="shared" si="81"/>
        <v>0</v>
      </c>
      <c r="G222" s="462"/>
      <c r="H222" s="462">
        <v>0</v>
      </c>
      <c r="I222" s="462">
        <f t="shared" si="82"/>
        <v>0</v>
      </c>
      <c r="J222" s="463"/>
      <c r="K222" s="462"/>
      <c r="L222" s="462">
        <f t="shared" si="83"/>
        <v>0</v>
      </c>
      <c r="M222" s="463"/>
      <c r="N222" s="463"/>
      <c r="O222" s="463"/>
      <c r="P222" s="463"/>
      <c r="Q222" s="463"/>
      <c r="R222" s="398"/>
    </row>
    <row r="223" spans="2:18" x14ac:dyDescent="0.3">
      <c r="B223" s="568">
        <f t="shared" si="84"/>
        <v>9.3999999999999986</v>
      </c>
      <c r="C223" s="414" t="s">
        <v>31</v>
      </c>
      <c r="D223" s="462"/>
      <c r="E223" s="462">
        <v>0</v>
      </c>
      <c r="F223" s="462">
        <f t="shared" si="81"/>
        <v>0</v>
      </c>
      <c r="G223" s="462"/>
      <c r="H223" s="462">
        <v>0</v>
      </c>
      <c r="I223" s="462">
        <f t="shared" si="82"/>
        <v>0</v>
      </c>
      <c r="J223" s="463"/>
      <c r="K223" s="462"/>
      <c r="L223" s="462">
        <f t="shared" si="83"/>
        <v>0</v>
      </c>
      <c r="M223" s="463"/>
      <c r="N223" s="463"/>
      <c r="O223" s="463"/>
      <c r="P223" s="463"/>
      <c r="Q223" s="463"/>
      <c r="R223" s="398"/>
    </row>
    <row r="224" spans="2:18" x14ac:dyDescent="0.3">
      <c r="B224" s="568">
        <f t="shared" si="84"/>
        <v>9.4999999999999982</v>
      </c>
      <c r="C224" s="414" t="s">
        <v>32</v>
      </c>
      <c r="D224" s="462"/>
      <c r="E224" s="462">
        <f>+E220-E221+E222-E223</f>
        <v>0</v>
      </c>
      <c r="F224" s="462">
        <f t="shared" si="81"/>
        <v>0</v>
      </c>
      <c r="G224" s="462"/>
      <c r="H224" s="462">
        <f>+H220-H221+H222-H223</f>
        <v>0</v>
      </c>
      <c r="I224" s="462">
        <f t="shared" si="82"/>
        <v>0</v>
      </c>
      <c r="J224" s="463"/>
      <c r="K224" s="463">
        <f>+J220-J221+J222-J223</f>
        <v>0</v>
      </c>
      <c r="L224" s="462">
        <f t="shared" si="83"/>
        <v>0</v>
      </c>
      <c r="M224" s="463"/>
      <c r="N224" s="463">
        <f>+M220-M221+M222-M223</f>
        <v>0</v>
      </c>
      <c r="O224" s="463"/>
      <c r="P224" s="463"/>
      <c r="Q224" s="463">
        <f>+O220-O221+O222-O223</f>
        <v>0</v>
      </c>
      <c r="R224" s="398"/>
    </row>
    <row r="225" spans="2:18" x14ac:dyDescent="0.3">
      <c r="B225" s="568">
        <f t="shared" si="84"/>
        <v>9.5999999999999979</v>
      </c>
      <c r="C225" s="414" t="s">
        <v>469</v>
      </c>
      <c r="D225" s="462"/>
      <c r="E225" s="740">
        <f>AVERAGE(E220,E224)</f>
        <v>0</v>
      </c>
      <c r="F225" s="462">
        <f t="shared" si="81"/>
        <v>0</v>
      </c>
      <c r="G225" s="462"/>
      <c r="H225" s="740">
        <f>AVERAGE(H220,H224)</f>
        <v>0</v>
      </c>
      <c r="I225" s="462">
        <f t="shared" si="82"/>
        <v>0</v>
      </c>
      <c r="J225" s="463"/>
      <c r="K225" s="462"/>
      <c r="L225" s="462">
        <f t="shared" si="83"/>
        <v>0</v>
      </c>
      <c r="M225" s="463"/>
      <c r="N225" s="463"/>
      <c r="O225" s="463"/>
      <c r="P225" s="463"/>
      <c r="Q225" s="463"/>
      <c r="R225" s="398"/>
    </row>
    <row r="226" spans="2:18" s="564" customFormat="1" x14ac:dyDescent="0.3">
      <c r="B226" s="572">
        <f t="shared" si="84"/>
        <v>9.6999999999999975</v>
      </c>
      <c r="C226" s="560" t="s">
        <v>33</v>
      </c>
      <c r="D226" s="561"/>
      <c r="E226" s="561">
        <f>IFERROR(E227/E225,0)</f>
        <v>0</v>
      </c>
      <c r="F226" s="561" t="e">
        <f>F227/F225</f>
        <v>#DIV/0!</v>
      </c>
      <c r="G226" s="561"/>
      <c r="H226" s="561">
        <f>IFERROR(H227/H225,0)</f>
        <v>0</v>
      </c>
      <c r="I226" s="561" t="e">
        <f>I227/I225</f>
        <v>#DIV/0!</v>
      </c>
      <c r="J226" s="562"/>
      <c r="K226" s="562" t="e">
        <f>J227/K225</f>
        <v>#DIV/0!</v>
      </c>
      <c r="L226" s="561" t="e">
        <f>L227/L225</f>
        <v>#DIV/0!</v>
      </c>
      <c r="M226" s="562"/>
      <c r="N226" s="562" t="e">
        <f>M227/N225</f>
        <v>#DIV/0!</v>
      </c>
      <c r="O226" s="562"/>
      <c r="P226" s="562"/>
      <c r="Q226" s="562" t="e">
        <f>O227/Q225</f>
        <v>#DIV/0!</v>
      </c>
      <c r="R226" s="563"/>
    </row>
    <row r="227" spans="2:18" x14ac:dyDescent="0.3">
      <c r="B227" s="568">
        <f t="shared" si="84"/>
        <v>9.7999999999999972</v>
      </c>
      <c r="C227" s="414" t="s">
        <v>34</v>
      </c>
      <c r="D227" s="462"/>
      <c r="E227" s="462">
        <v>0</v>
      </c>
      <c r="F227" s="462">
        <f t="shared" si="81"/>
        <v>0</v>
      </c>
      <c r="G227" s="462"/>
      <c r="H227" s="462">
        <v>0</v>
      </c>
      <c r="I227" s="462">
        <f t="shared" si="82"/>
        <v>0</v>
      </c>
      <c r="J227" s="463"/>
      <c r="K227" s="462"/>
      <c r="L227" s="462">
        <f t="shared" si="83"/>
        <v>0</v>
      </c>
      <c r="M227" s="463"/>
      <c r="N227" s="463"/>
      <c r="O227" s="463"/>
      <c r="P227" s="463"/>
      <c r="Q227" s="463"/>
      <c r="R227" s="398"/>
    </row>
    <row r="228" spans="2:18" x14ac:dyDescent="0.3">
      <c r="B228" s="568"/>
      <c r="C228" s="414"/>
      <c r="D228" s="462"/>
      <c r="E228" s="462"/>
      <c r="F228" s="462"/>
      <c r="G228" s="462"/>
      <c r="H228" s="462"/>
      <c r="I228" s="462"/>
      <c r="J228" s="463"/>
      <c r="K228" s="462"/>
      <c r="L228" s="462"/>
      <c r="M228" s="463"/>
      <c r="N228" s="463"/>
      <c r="O228" s="463"/>
      <c r="P228" s="463"/>
      <c r="Q228" s="463"/>
      <c r="R228" s="398"/>
    </row>
    <row r="229" spans="2:18" s="22" customFormat="1" x14ac:dyDescent="0.3">
      <c r="B229" s="570">
        <v>10</v>
      </c>
      <c r="C229" s="415" t="s">
        <v>1661</v>
      </c>
      <c r="D229" s="462"/>
      <c r="E229" s="462"/>
      <c r="F229" s="462"/>
      <c r="G229" s="462"/>
      <c r="H229" s="462"/>
      <c r="I229" s="462"/>
      <c r="J229" s="463"/>
      <c r="K229" s="462"/>
      <c r="L229" s="462"/>
      <c r="M229" s="463"/>
      <c r="N229" s="463"/>
      <c r="O229" s="463"/>
      <c r="P229" s="463"/>
      <c r="Q229" s="463"/>
      <c r="R229" s="410"/>
    </row>
    <row r="230" spans="2:18" x14ac:dyDescent="0.3">
      <c r="B230" s="568">
        <f>B229+0.1</f>
        <v>10.1</v>
      </c>
      <c r="C230" s="414" t="s">
        <v>30</v>
      </c>
      <c r="D230" s="462"/>
      <c r="E230" s="462">
        <v>0</v>
      </c>
      <c r="F230" s="462">
        <f t="shared" ref="F230:F237" si="85">E230-D230</f>
        <v>0</v>
      </c>
      <c r="G230" s="462"/>
      <c r="H230" s="462">
        <v>0</v>
      </c>
      <c r="I230" s="462">
        <f t="shared" ref="I230:I237" si="86">H230-G230</f>
        <v>0</v>
      </c>
      <c r="J230" s="463"/>
      <c r="K230" s="462"/>
      <c r="L230" s="462">
        <f t="shared" ref="L230:L237" si="87">K230-J230</f>
        <v>0</v>
      </c>
      <c r="M230" s="463"/>
      <c r="N230" s="463"/>
      <c r="O230" s="463"/>
      <c r="P230" s="463"/>
      <c r="Q230" s="463"/>
      <c r="R230" s="398"/>
    </row>
    <row r="231" spans="2:18" x14ac:dyDescent="0.3">
      <c r="B231" s="568">
        <f t="shared" ref="B231:B237" si="88">B230+0.1</f>
        <v>10.199999999999999</v>
      </c>
      <c r="C231" s="414" t="s">
        <v>400</v>
      </c>
      <c r="D231" s="462"/>
      <c r="E231" s="462">
        <v>0</v>
      </c>
      <c r="F231" s="462">
        <f t="shared" si="85"/>
        <v>0</v>
      </c>
      <c r="G231" s="462"/>
      <c r="H231" s="462">
        <v>0</v>
      </c>
      <c r="I231" s="462">
        <f t="shared" si="86"/>
        <v>0</v>
      </c>
      <c r="J231" s="463"/>
      <c r="K231" s="462"/>
      <c r="L231" s="462">
        <f t="shared" si="87"/>
        <v>0</v>
      </c>
      <c r="M231" s="463"/>
      <c r="N231" s="463"/>
      <c r="O231" s="463"/>
      <c r="P231" s="463"/>
      <c r="Q231" s="463"/>
      <c r="R231" s="398"/>
    </row>
    <row r="232" spans="2:18" x14ac:dyDescent="0.3">
      <c r="B232" s="568">
        <f t="shared" si="88"/>
        <v>10.299999999999999</v>
      </c>
      <c r="C232" s="414" t="s">
        <v>342</v>
      </c>
      <c r="D232" s="462"/>
      <c r="E232" s="462">
        <v>0</v>
      </c>
      <c r="F232" s="462">
        <f t="shared" si="85"/>
        <v>0</v>
      </c>
      <c r="G232" s="462"/>
      <c r="H232" s="462">
        <v>0</v>
      </c>
      <c r="I232" s="462">
        <f t="shared" si="86"/>
        <v>0</v>
      </c>
      <c r="J232" s="463"/>
      <c r="K232" s="462"/>
      <c r="L232" s="462">
        <f t="shared" si="87"/>
        <v>0</v>
      </c>
      <c r="M232" s="463"/>
      <c r="N232" s="463"/>
      <c r="O232" s="463"/>
      <c r="P232" s="463"/>
      <c r="Q232" s="463"/>
      <c r="R232" s="398"/>
    </row>
    <row r="233" spans="2:18" x14ac:dyDescent="0.3">
      <c r="B233" s="568">
        <f t="shared" si="88"/>
        <v>10.399999999999999</v>
      </c>
      <c r="C233" s="414" t="s">
        <v>31</v>
      </c>
      <c r="D233" s="462"/>
      <c r="E233" s="462">
        <v>0</v>
      </c>
      <c r="F233" s="462">
        <f t="shared" si="85"/>
        <v>0</v>
      </c>
      <c r="G233" s="462"/>
      <c r="H233" s="462">
        <v>0</v>
      </c>
      <c r="I233" s="462">
        <f t="shared" si="86"/>
        <v>0</v>
      </c>
      <c r="J233" s="463"/>
      <c r="K233" s="462"/>
      <c r="L233" s="462">
        <f t="shared" si="87"/>
        <v>0</v>
      </c>
      <c r="M233" s="463"/>
      <c r="N233" s="463"/>
      <c r="O233" s="463"/>
      <c r="P233" s="463"/>
      <c r="Q233" s="463"/>
      <c r="R233" s="398"/>
    </row>
    <row r="234" spans="2:18" x14ac:dyDescent="0.3">
      <c r="B234" s="568">
        <f t="shared" si="88"/>
        <v>10.499999999999998</v>
      </c>
      <c r="C234" s="414" t="s">
        <v>32</v>
      </c>
      <c r="D234" s="462"/>
      <c r="E234" s="462">
        <f>+E230-E231+E232-E233</f>
        <v>0</v>
      </c>
      <c r="F234" s="462">
        <f t="shared" si="85"/>
        <v>0</v>
      </c>
      <c r="G234" s="462"/>
      <c r="H234" s="462">
        <f>+H230-H231+H232-H233</f>
        <v>0</v>
      </c>
      <c r="I234" s="462">
        <f t="shared" si="86"/>
        <v>0</v>
      </c>
      <c r="J234" s="463"/>
      <c r="K234" s="463">
        <f>+J230-J231+J232-J233</f>
        <v>0</v>
      </c>
      <c r="L234" s="462">
        <f t="shared" si="87"/>
        <v>0</v>
      </c>
      <c r="M234" s="463"/>
      <c r="N234" s="463">
        <f>+M230-M231+M232-M233</f>
        <v>0</v>
      </c>
      <c r="O234" s="463"/>
      <c r="P234" s="463"/>
      <c r="Q234" s="463">
        <f>+O230-O231+O232-O233</f>
        <v>0</v>
      </c>
      <c r="R234" s="398"/>
    </row>
    <row r="235" spans="2:18" x14ac:dyDescent="0.3">
      <c r="B235" s="568">
        <f t="shared" si="88"/>
        <v>10.599999999999998</v>
      </c>
      <c r="C235" s="414" t="s">
        <v>469</v>
      </c>
      <c r="D235" s="462"/>
      <c r="E235" s="740">
        <f>AVERAGE(E230,E234)</f>
        <v>0</v>
      </c>
      <c r="F235" s="462">
        <f t="shared" si="85"/>
        <v>0</v>
      </c>
      <c r="G235" s="462"/>
      <c r="H235" s="740">
        <f>AVERAGE(H230,H234)</f>
        <v>0</v>
      </c>
      <c r="I235" s="462">
        <f t="shared" si="86"/>
        <v>0</v>
      </c>
      <c r="J235" s="463"/>
      <c r="K235" s="462"/>
      <c r="L235" s="462">
        <f t="shared" si="87"/>
        <v>0</v>
      </c>
      <c r="M235" s="463"/>
      <c r="N235" s="463"/>
      <c r="O235" s="463"/>
      <c r="P235" s="463"/>
      <c r="Q235" s="463"/>
      <c r="R235" s="398"/>
    </row>
    <row r="236" spans="2:18" s="564" customFormat="1" x14ac:dyDescent="0.3">
      <c r="B236" s="572">
        <f t="shared" si="88"/>
        <v>10.699999999999998</v>
      </c>
      <c r="C236" s="560" t="s">
        <v>33</v>
      </c>
      <c r="D236" s="561"/>
      <c r="E236" s="561">
        <f>IFERROR(E237/E235,0)</f>
        <v>0</v>
      </c>
      <c r="F236" s="561" t="e">
        <f>F237/F235</f>
        <v>#DIV/0!</v>
      </c>
      <c r="G236" s="561"/>
      <c r="H236" s="561">
        <f>IFERROR(H237/H235,0)</f>
        <v>0</v>
      </c>
      <c r="I236" s="561" t="e">
        <f>I237/I235</f>
        <v>#DIV/0!</v>
      </c>
      <c r="J236" s="562"/>
      <c r="K236" s="562" t="e">
        <f>J237/K235</f>
        <v>#DIV/0!</v>
      </c>
      <c r="L236" s="561" t="e">
        <f>L237/L235</f>
        <v>#DIV/0!</v>
      </c>
      <c r="M236" s="562"/>
      <c r="N236" s="562" t="e">
        <f>M237/N235</f>
        <v>#DIV/0!</v>
      </c>
      <c r="O236" s="562"/>
      <c r="P236" s="562"/>
      <c r="Q236" s="562" t="e">
        <f>O237/Q235</f>
        <v>#DIV/0!</v>
      </c>
      <c r="R236" s="563"/>
    </row>
    <row r="237" spans="2:18" x14ac:dyDescent="0.3">
      <c r="B237" s="568">
        <f t="shared" si="88"/>
        <v>10.799999999999997</v>
      </c>
      <c r="C237" s="414" t="s">
        <v>34</v>
      </c>
      <c r="D237" s="462"/>
      <c r="E237" s="462">
        <v>0</v>
      </c>
      <c r="F237" s="462">
        <f t="shared" si="85"/>
        <v>0</v>
      </c>
      <c r="G237" s="462"/>
      <c r="H237" s="462">
        <v>0</v>
      </c>
      <c r="I237" s="462">
        <f t="shared" si="86"/>
        <v>0</v>
      </c>
      <c r="J237" s="463"/>
      <c r="K237" s="462"/>
      <c r="L237" s="462">
        <f t="shared" si="87"/>
        <v>0</v>
      </c>
      <c r="M237" s="463"/>
      <c r="N237" s="463"/>
      <c r="O237" s="463"/>
      <c r="P237" s="463"/>
      <c r="Q237" s="463"/>
      <c r="R237" s="398"/>
    </row>
    <row r="238" spans="2:18" x14ac:dyDescent="0.3">
      <c r="B238" s="568"/>
      <c r="C238" s="414"/>
      <c r="D238" s="462"/>
      <c r="E238" s="462"/>
      <c r="F238" s="462"/>
      <c r="G238" s="462"/>
      <c r="H238" s="462"/>
      <c r="I238" s="462"/>
      <c r="J238" s="463"/>
      <c r="K238" s="462"/>
      <c r="L238" s="462"/>
      <c r="M238" s="463"/>
      <c r="N238" s="463"/>
      <c r="O238" s="463"/>
      <c r="P238" s="463"/>
      <c r="Q238" s="463"/>
      <c r="R238" s="398"/>
    </row>
    <row r="239" spans="2:18" s="22" customFormat="1" x14ac:dyDescent="0.3">
      <c r="B239" s="570">
        <v>11</v>
      </c>
      <c r="C239" s="415" t="s">
        <v>1662</v>
      </c>
      <c r="D239" s="462"/>
      <c r="E239" s="462"/>
      <c r="F239" s="462"/>
      <c r="G239" s="462"/>
      <c r="H239" s="462"/>
      <c r="I239" s="462"/>
      <c r="J239" s="463"/>
      <c r="K239" s="462"/>
      <c r="L239" s="462"/>
      <c r="M239" s="463"/>
      <c r="N239" s="463"/>
      <c r="O239" s="463"/>
      <c r="P239" s="463"/>
      <c r="Q239" s="463"/>
      <c r="R239" s="410"/>
    </row>
    <row r="240" spans="2:18" x14ac:dyDescent="0.3">
      <c r="B240" s="568">
        <f>B239+0.1</f>
        <v>11.1</v>
      </c>
      <c r="C240" s="414" t="s">
        <v>30</v>
      </c>
      <c r="D240" s="462"/>
      <c r="E240" s="462">
        <v>0</v>
      </c>
      <c r="F240" s="462">
        <f t="shared" ref="F240:F247" si="89">E240-D240</f>
        <v>0</v>
      </c>
      <c r="G240" s="462"/>
      <c r="H240" s="462">
        <v>0</v>
      </c>
      <c r="I240" s="462">
        <f t="shared" ref="I240:I247" si="90">H240-G240</f>
        <v>0</v>
      </c>
      <c r="J240" s="463"/>
      <c r="K240" s="462"/>
      <c r="L240" s="462">
        <f t="shared" ref="L240:L247" si="91">K240-J240</f>
        <v>0</v>
      </c>
      <c r="M240" s="463"/>
      <c r="N240" s="463"/>
      <c r="O240" s="463"/>
      <c r="P240" s="463"/>
      <c r="Q240" s="463"/>
      <c r="R240" s="398"/>
    </row>
    <row r="241" spans="2:18" x14ac:dyDescent="0.3">
      <c r="B241" s="568">
        <f t="shared" ref="B241:B247" si="92">B240+0.1</f>
        <v>11.2</v>
      </c>
      <c r="C241" s="414" t="s">
        <v>400</v>
      </c>
      <c r="D241" s="462"/>
      <c r="E241" s="462">
        <v>0</v>
      </c>
      <c r="F241" s="462">
        <f t="shared" si="89"/>
        <v>0</v>
      </c>
      <c r="G241" s="462"/>
      <c r="H241" s="462">
        <v>0</v>
      </c>
      <c r="I241" s="462">
        <f t="shared" si="90"/>
        <v>0</v>
      </c>
      <c r="J241" s="463"/>
      <c r="K241" s="462"/>
      <c r="L241" s="462">
        <f t="shared" si="91"/>
        <v>0</v>
      </c>
      <c r="M241" s="463"/>
      <c r="N241" s="463"/>
      <c r="O241" s="463"/>
      <c r="P241" s="463"/>
      <c r="Q241" s="463"/>
      <c r="R241" s="398"/>
    </row>
    <row r="242" spans="2:18" x14ac:dyDescent="0.3">
      <c r="B242" s="568">
        <f t="shared" si="92"/>
        <v>11.299999999999999</v>
      </c>
      <c r="C242" s="414" t="s">
        <v>342</v>
      </c>
      <c r="D242" s="462"/>
      <c r="E242" s="462">
        <v>0</v>
      </c>
      <c r="F242" s="462">
        <f t="shared" si="89"/>
        <v>0</v>
      </c>
      <c r="G242" s="462"/>
      <c r="H242" s="462">
        <v>0</v>
      </c>
      <c r="I242" s="462">
        <f t="shared" si="90"/>
        <v>0</v>
      </c>
      <c r="J242" s="463"/>
      <c r="K242" s="462"/>
      <c r="L242" s="462">
        <f t="shared" si="91"/>
        <v>0</v>
      </c>
      <c r="M242" s="463"/>
      <c r="N242" s="463"/>
      <c r="O242" s="463"/>
      <c r="P242" s="463"/>
      <c r="Q242" s="463"/>
      <c r="R242" s="398"/>
    </row>
    <row r="243" spans="2:18" x14ac:dyDescent="0.3">
      <c r="B243" s="568">
        <f t="shared" si="92"/>
        <v>11.399999999999999</v>
      </c>
      <c r="C243" s="414" t="s">
        <v>31</v>
      </c>
      <c r="D243" s="462"/>
      <c r="E243" s="462">
        <v>0</v>
      </c>
      <c r="F243" s="462">
        <f t="shared" si="89"/>
        <v>0</v>
      </c>
      <c r="G243" s="462"/>
      <c r="H243" s="462">
        <v>0</v>
      </c>
      <c r="I243" s="462">
        <f t="shared" si="90"/>
        <v>0</v>
      </c>
      <c r="J243" s="463"/>
      <c r="K243" s="462"/>
      <c r="L243" s="462">
        <f t="shared" si="91"/>
        <v>0</v>
      </c>
      <c r="M243" s="463"/>
      <c r="N243" s="463"/>
      <c r="O243" s="463"/>
      <c r="P243" s="463"/>
      <c r="Q243" s="463"/>
      <c r="R243" s="398"/>
    </row>
    <row r="244" spans="2:18" x14ac:dyDescent="0.3">
      <c r="B244" s="568">
        <f t="shared" si="92"/>
        <v>11.499999999999998</v>
      </c>
      <c r="C244" s="414" t="s">
        <v>32</v>
      </c>
      <c r="D244" s="462"/>
      <c r="E244" s="462">
        <f>+E240-E241+E242-E243</f>
        <v>0</v>
      </c>
      <c r="F244" s="462">
        <f t="shared" si="89"/>
        <v>0</v>
      </c>
      <c r="G244" s="462"/>
      <c r="H244" s="462">
        <f>+H240-H241+H242-H243</f>
        <v>0</v>
      </c>
      <c r="I244" s="462">
        <f t="shared" si="90"/>
        <v>0</v>
      </c>
      <c r="J244" s="463"/>
      <c r="K244" s="463">
        <f>+J240-J241+J242-J243</f>
        <v>0</v>
      </c>
      <c r="L244" s="462">
        <f t="shared" si="91"/>
        <v>0</v>
      </c>
      <c r="M244" s="463"/>
      <c r="N244" s="463">
        <f>+M240-M241+M242-M243</f>
        <v>0</v>
      </c>
      <c r="O244" s="463"/>
      <c r="P244" s="463"/>
      <c r="Q244" s="463">
        <f>+O240-O241+O242-O243</f>
        <v>0</v>
      </c>
      <c r="R244" s="398"/>
    </row>
    <row r="245" spans="2:18" x14ac:dyDescent="0.3">
      <c r="B245" s="568">
        <f t="shared" si="92"/>
        <v>11.599999999999998</v>
      </c>
      <c r="C245" s="414" t="s">
        <v>469</v>
      </c>
      <c r="D245" s="462"/>
      <c r="E245" s="740">
        <f>AVERAGE(E240,E244)</f>
        <v>0</v>
      </c>
      <c r="F245" s="462">
        <f t="shared" si="89"/>
        <v>0</v>
      </c>
      <c r="G245" s="462"/>
      <c r="H245" s="740">
        <f>AVERAGE(H240,H244)</f>
        <v>0</v>
      </c>
      <c r="I245" s="462">
        <f t="shared" si="90"/>
        <v>0</v>
      </c>
      <c r="J245" s="463"/>
      <c r="K245" s="462"/>
      <c r="L245" s="462">
        <f t="shared" si="91"/>
        <v>0</v>
      </c>
      <c r="M245" s="463"/>
      <c r="N245" s="463"/>
      <c r="O245" s="463"/>
      <c r="P245" s="463"/>
      <c r="Q245" s="463"/>
      <c r="R245" s="398"/>
    </row>
    <row r="246" spans="2:18" s="564" customFormat="1" x14ac:dyDescent="0.3">
      <c r="B246" s="572">
        <f t="shared" si="92"/>
        <v>11.699999999999998</v>
      </c>
      <c r="C246" s="560" t="s">
        <v>33</v>
      </c>
      <c r="D246" s="561"/>
      <c r="E246" s="561">
        <f>IFERROR(E247/E245,0)</f>
        <v>0</v>
      </c>
      <c r="F246" s="561" t="e">
        <f>F247/F245</f>
        <v>#DIV/0!</v>
      </c>
      <c r="G246" s="561"/>
      <c r="H246" s="561">
        <f>IFERROR(H247/H245,0)</f>
        <v>0</v>
      </c>
      <c r="I246" s="561" t="e">
        <f>I247/I245</f>
        <v>#DIV/0!</v>
      </c>
      <c r="J246" s="562"/>
      <c r="K246" s="562" t="e">
        <f>J247/K245</f>
        <v>#DIV/0!</v>
      </c>
      <c r="L246" s="561" t="e">
        <f>L247/L245</f>
        <v>#DIV/0!</v>
      </c>
      <c r="M246" s="562"/>
      <c r="N246" s="562" t="e">
        <f>M247/N245</f>
        <v>#DIV/0!</v>
      </c>
      <c r="O246" s="562"/>
      <c r="P246" s="562"/>
      <c r="Q246" s="562" t="e">
        <f>O247/Q245</f>
        <v>#DIV/0!</v>
      </c>
      <c r="R246" s="563"/>
    </row>
    <row r="247" spans="2:18" x14ac:dyDescent="0.3">
      <c r="B247" s="568">
        <f t="shared" si="92"/>
        <v>11.799999999999997</v>
      </c>
      <c r="C247" s="414" t="s">
        <v>34</v>
      </c>
      <c r="D247" s="462"/>
      <c r="E247" s="462">
        <v>0</v>
      </c>
      <c r="F247" s="462">
        <f t="shared" si="89"/>
        <v>0</v>
      </c>
      <c r="G247" s="462"/>
      <c r="H247" s="462">
        <v>0</v>
      </c>
      <c r="I247" s="462">
        <f t="shared" si="90"/>
        <v>0</v>
      </c>
      <c r="J247" s="463"/>
      <c r="K247" s="462"/>
      <c r="L247" s="462">
        <f t="shared" si="91"/>
        <v>0</v>
      </c>
      <c r="M247" s="463"/>
      <c r="N247" s="463"/>
      <c r="O247" s="463"/>
      <c r="P247" s="463"/>
      <c r="Q247" s="463"/>
      <c r="R247" s="398"/>
    </row>
    <row r="248" spans="2:18" x14ac:dyDescent="0.3">
      <c r="B248" s="568"/>
      <c r="C248" s="414"/>
      <c r="D248" s="462"/>
      <c r="E248" s="462"/>
      <c r="F248" s="462"/>
      <c r="G248" s="462"/>
      <c r="H248" s="462"/>
      <c r="I248" s="462"/>
      <c r="J248" s="463"/>
      <c r="K248" s="462"/>
      <c r="L248" s="462"/>
      <c r="M248" s="463"/>
      <c r="N248" s="463"/>
      <c r="O248" s="463"/>
      <c r="P248" s="463"/>
      <c r="Q248" s="463"/>
      <c r="R248" s="398"/>
    </row>
    <row r="249" spans="2:18" s="22" customFormat="1" x14ac:dyDescent="0.3">
      <c r="B249" s="570">
        <v>12</v>
      </c>
      <c r="C249" s="415" t="s">
        <v>1663</v>
      </c>
      <c r="D249" s="462"/>
      <c r="E249" s="462"/>
      <c r="F249" s="462"/>
      <c r="G249" s="462"/>
      <c r="H249" s="462"/>
      <c r="I249" s="462"/>
      <c r="J249" s="463"/>
      <c r="K249" s="462"/>
      <c r="L249" s="462"/>
      <c r="M249" s="463"/>
      <c r="N249" s="463"/>
      <c r="O249" s="463"/>
      <c r="P249" s="463"/>
      <c r="Q249" s="463"/>
      <c r="R249" s="410"/>
    </row>
    <row r="250" spans="2:18" x14ac:dyDescent="0.3">
      <c r="B250" s="568">
        <f>B249+0.1</f>
        <v>12.1</v>
      </c>
      <c r="C250" s="414" t="s">
        <v>30</v>
      </c>
      <c r="D250" s="462"/>
      <c r="E250" s="462">
        <v>0</v>
      </c>
      <c r="F250" s="462">
        <f t="shared" ref="F250:F257" si="93">E250-D250</f>
        <v>0</v>
      </c>
      <c r="G250" s="462"/>
      <c r="H250" s="462">
        <v>0</v>
      </c>
      <c r="I250" s="462">
        <f t="shared" ref="I250:I257" si="94">H250-G250</f>
        <v>0</v>
      </c>
      <c r="J250" s="463"/>
      <c r="K250" s="462"/>
      <c r="L250" s="462">
        <f t="shared" ref="L250:L257" si="95">K250-J250</f>
        <v>0</v>
      </c>
      <c r="M250" s="463"/>
      <c r="N250" s="463"/>
      <c r="O250" s="463"/>
      <c r="P250" s="463"/>
      <c r="Q250" s="463"/>
      <c r="R250" s="398"/>
    </row>
    <row r="251" spans="2:18" x14ac:dyDescent="0.3">
      <c r="B251" s="568">
        <f t="shared" ref="B251:B257" si="96">B250+0.1</f>
        <v>12.2</v>
      </c>
      <c r="C251" s="414" t="s">
        <v>400</v>
      </c>
      <c r="D251" s="462"/>
      <c r="E251" s="462">
        <v>0</v>
      </c>
      <c r="F251" s="462">
        <f t="shared" si="93"/>
        <v>0</v>
      </c>
      <c r="G251" s="462"/>
      <c r="H251" s="462">
        <v>0</v>
      </c>
      <c r="I251" s="462">
        <f t="shared" si="94"/>
        <v>0</v>
      </c>
      <c r="J251" s="463"/>
      <c r="K251" s="462"/>
      <c r="L251" s="462">
        <f t="shared" si="95"/>
        <v>0</v>
      </c>
      <c r="M251" s="463"/>
      <c r="N251" s="463"/>
      <c r="O251" s="463"/>
      <c r="P251" s="463"/>
      <c r="Q251" s="463"/>
      <c r="R251" s="398"/>
    </row>
    <row r="252" spans="2:18" x14ac:dyDescent="0.3">
      <c r="B252" s="568">
        <f t="shared" si="96"/>
        <v>12.299999999999999</v>
      </c>
      <c r="C252" s="414" t="s">
        <v>342</v>
      </c>
      <c r="D252" s="462"/>
      <c r="E252" s="462">
        <v>0</v>
      </c>
      <c r="F252" s="462">
        <f t="shared" si="93"/>
        <v>0</v>
      </c>
      <c r="G252" s="462"/>
      <c r="H252" s="462">
        <v>0</v>
      </c>
      <c r="I252" s="462">
        <f t="shared" si="94"/>
        <v>0</v>
      </c>
      <c r="J252" s="463"/>
      <c r="K252" s="462"/>
      <c r="L252" s="462">
        <f t="shared" si="95"/>
        <v>0</v>
      </c>
      <c r="M252" s="463"/>
      <c r="N252" s="463"/>
      <c r="O252" s="463"/>
      <c r="P252" s="463"/>
      <c r="Q252" s="463"/>
      <c r="R252" s="398"/>
    </row>
    <row r="253" spans="2:18" x14ac:dyDescent="0.3">
      <c r="B253" s="568">
        <f t="shared" si="96"/>
        <v>12.399999999999999</v>
      </c>
      <c r="C253" s="414" t="s">
        <v>31</v>
      </c>
      <c r="D253" s="462"/>
      <c r="E253" s="462">
        <v>0</v>
      </c>
      <c r="F253" s="462">
        <f t="shared" si="93"/>
        <v>0</v>
      </c>
      <c r="G253" s="462"/>
      <c r="H253" s="462">
        <v>0</v>
      </c>
      <c r="I253" s="462">
        <f t="shared" si="94"/>
        <v>0</v>
      </c>
      <c r="J253" s="463"/>
      <c r="K253" s="462"/>
      <c r="L253" s="462">
        <f t="shared" si="95"/>
        <v>0</v>
      </c>
      <c r="M253" s="463"/>
      <c r="N253" s="463"/>
      <c r="O253" s="463"/>
      <c r="P253" s="463"/>
      <c r="Q253" s="463"/>
      <c r="R253" s="398"/>
    </row>
    <row r="254" spans="2:18" x14ac:dyDescent="0.3">
      <c r="B254" s="568">
        <f t="shared" si="96"/>
        <v>12.499999999999998</v>
      </c>
      <c r="C254" s="414" t="s">
        <v>32</v>
      </c>
      <c r="D254" s="462"/>
      <c r="E254" s="462">
        <f>+E250-E251+E252-E253</f>
        <v>0</v>
      </c>
      <c r="F254" s="462">
        <f t="shared" si="93"/>
        <v>0</v>
      </c>
      <c r="G254" s="462"/>
      <c r="H254" s="462">
        <f>+H250-H251+H252-H253</f>
        <v>0</v>
      </c>
      <c r="I254" s="462">
        <f t="shared" si="94"/>
        <v>0</v>
      </c>
      <c r="J254" s="463"/>
      <c r="K254" s="463">
        <f>+J250-J251+J252-J253</f>
        <v>0</v>
      </c>
      <c r="L254" s="462">
        <f t="shared" si="95"/>
        <v>0</v>
      </c>
      <c r="M254" s="463"/>
      <c r="N254" s="463">
        <f>+M250-M251+M252-M253</f>
        <v>0</v>
      </c>
      <c r="O254" s="463"/>
      <c r="P254" s="463"/>
      <c r="Q254" s="463">
        <f>+O250-O251+O252-O253</f>
        <v>0</v>
      </c>
      <c r="R254" s="398"/>
    </row>
    <row r="255" spans="2:18" x14ac:dyDescent="0.3">
      <c r="B255" s="568">
        <f t="shared" si="96"/>
        <v>12.599999999999998</v>
      </c>
      <c r="C255" s="414" t="s">
        <v>469</v>
      </c>
      <c r="D255" s="462"/>
      <c r="E255" s="740">
        <f>AVERAGE(E250,E254)</f>
        <v>0</v>
      </c>
      <c r="F255" s="462">
        <f t="shared" si="93"/>
        <v>0</v>
      </c>
      <c r="G255" s="462"/>
      <c r="H255" s="740">
        <f>AVERAGE(H250,H254)</f>
        <v>0</v>
      </c>
      <c r="I255" s="462">
        <f t="shared" si="94"/>
        <v>0</v>
      </c>
      <c r="J255" s="463"/>
      <c r="K255" s="462"/>
      <c r="L255" s="462">
        <f t="shared" si="95"/>
        <v>0</v>
      </c>
      <c r="M255" s="463"/>
      <c r="N255" s="463"/>
      <c r="O255" s="463"/>
      <c r="P255" s="463"/>
      <c r="Q255" s="463"/>
      <c r="R255" s="398"/>
    </row>
    <row r="256" spans="2:18" s="564" customFormat="1" x14ac:dyDescent="0.3">
      <c r="B256" s="572">
        <f t="shared" si="96"/>
        <v>12.699999999999998</v>
      </c>
      <c r="C256" s="560" t="s">
        <v>33</v>
      </c>
      <c r="D256" s="561"/>
      <c r="E256" s="561">
        <f>IFERROR(E257/E255,0)</f>
        <v>0</v>
      </c>
      <c r="F256" s="561" t="e">
        <f>F257/F255</f>
        <v>#DIV/0!</v>
      </c>
      <c r="G256" s="561"/>
      <c r="H256" s="561">
        <f>IFERROR(H257/H255,0)</f>
        <v>0</v>
      </c>
      <c r="I256" s="561" t="e">
        <f>I257/I255</f>
        <v>#DIV/0!</v>
      </c>
      <c r="J256" s="562"/>
      <c r="K256" s="562" t="e">
        <f>J257/K255</f>
        <v>#DIV/0!</v>
      </c>
      <c r="L256" s="561" t="e">
        <f>L257/L255</f>
        <v>#DIV/0!</v>
      </c>
      <c r="M256" s="562"/>
      <c r="N256" s="562" t="e">
        <f>M257/N255</f>
        <v>#DIV/0!</v>
      </c>
      <c r="O256" s="562"/>
      <c r="P256" s="562"/>
      <c r="Q256" s="562" t="e">
        <f>O257/Q255</f>
        <v>#DIV/0!</v>
      </c>
      <c r="R256" s="563"/>
    </row>
    <row r="257" spans="2:18" x14ac:dyDescent="0.3">
      <c r="B257" s="568">
        <f t="shared" si="96"/>
        <v>12.799999999999997</v>
      </c>
      <c r="C257" s="414" t="s">
        <v>34</v>
      </c>
      <c r="D257" s="462"/>
      <c r="E257" s="462">
        <v>0</v>
      </c>
      <c r="F257" s="462">
        <f t="shared" si="93"/>
        <v>0</v>
      </c>
      <c r="G257" s="462"/>
      <c r="H257" s="462">
        <v>0</v>
      </c>
      <c r="I257" s="462">
        <f t="shared" si="94"/>
        <v>0</v>
      </c>
      <c r="J257" s="463"/>
      <c r="K257" s="462"/>
      <c r="L257" s="462">
        <f t="shared" si="95"/>
        <v>0</v>
      </c>
      <c r="M257" s="463"/>
      <c r="N257" s="463"/>
      <c r="O257" s="463"/>
      <c r="P257" s="463"/>
      <c r="Q257" s="463"/>
      <c r="R257" s="398"/>
    </row>
    <row r="258" spans="2:18" x14ac:dyDescent="0.3">
      <c r="B258" s="568"/>
      <c r="C258" s="414" t="s">
        <v>25</v>
      </c>
      <c r="D258" s="464"/>
      <c r="E258" s="464"/>
      <c r="F258" s="464"/>
      <c r="G258" s="464"/>
      <c r="H258" s="464"/>
      <c r="I258" s="464"/>
      <c r="J258" s="464"/>
      <c r="K258" s="464"/>
      <c r="L258" s="464"/>
      <c r="M258" s="464"/>
      <c r="N258" s="464"/>
      <c r="O258" s="464"/>
      <c r="P258" s="464"/>
      <c r="Q258" s="464"/>
      <c r="R258" s="398"/>
    </row>
    <row r="259" spans="2:18" x14ac:dyDescent="0.3">
      <c r="B259" s="568"/>
      <c r="C259" s="414" t="s">
        <v>25</v>
      </c>
      <c r="D259" s="464"/>
      <c r="E259" s="464"/>
      <c r="F259" s="464"/>
      <c r="G259" s="464"/>
      <c r="H259" s="464"/>
      <c r="I259" s="464"/>
      <c r="J259" s="464"/>
      <c r="K259" s="464"/>
      <c r="L259" s="464"/>
      <c r="M259" s="464"/>
      <c r="N259" s="464"/>
      <c r="O259" s="464"/>
      <c r="P259" s="464"/>
      <c r="Q259" s="464"/>
      <c r="R259" s="398"/>
    </row>
    <row r="260" spans="2:18" x14ac:dyDescent="0.3">
      <c r="B260" s="568"/>
      <c r="C260" s="414"/>
      <c r="D260" s="464"/>
      <c r="E260" s="464"/>
      <c r="F260" s="464"/>
      <c r="G260" s="464"/>
      <c r="H260" s="464"/>
      <c r="I260" s="464"/>
      <c r="J260" s="464"/>
      <c r="K260" s="464"/>
      <c r="L260" s="464"/>
      <c r="M260" s="464"/>
      <c r="N260" s="464"/>
      <c r="O260" s="464"/>
      <c r="P260" s="464"/>
      <c r="Q260" s="464"/>
      <c r="R260" s="398"/>
    </row>
    <row r="261" spans="2:18" x14ac:dyDescent="0.3">
      <c r="B261" s="570">
        <v>13</v>
      </c>
      <c r="C261" s="415" t="s">
        <v>271</v>
      </c>
      <c r="D261" s="464"/>
      <c r="E261" s="464"/>
      <c r="F261" s="464"/>
      <c r="G261" s="464"/>
      <c r="H261" s="464"/>
      <c r="I261" s="464"/>
      <c r="J261" s="464"/>
      <c r="K261" s="464"/>
      <c r="L261" s="464"/>
      <c r="M261" s="464"/>
      <c r="N261" s="464"/>
      <c r="O261" s="464"/>
      <c r="P261" s="464"/>
      <c r="Q261" s="464"/>
      <c r="R261" s="398"/>
    </row>
    <row r="262" spans="2:18" x14ac:dyDescent="0.3">
      <c r="B262" s="568">
        <f t="shared" ref="B262:B269" si="97">B261+0.1</f>
        <v>13.1</v>
      </c>
      <c r="C262" s="414" t="s">
        <v>30</v>
      </c>
      <c r="D262" s="464"/>
      <c r="E262" s="464">
        <f t="shared" ref="E262:E269" si="98">E140+E150+E160+E170+E180+E190+E200+E210+E220+E230+E240+E250</f>
        <v>24.988772912882695</v>
      </c>
      <c r="F262" s="464"/>
      <c r="G262" s="464"/>
      <c r="H262" s="464">
        <f t="shared" ref="H262:H269" si="99">H140+H150+H160+H170+H180+H190+H200+H210+H220+H230+H240+H250</f>
        <v>20.800649323575929</v>
      </c>
      <c r="I262" s="464"/>
      <c r="J262" s="464"/>
      <c r="K262" s="464">
        <f t="shared" ref="K262:K269" si="100">K140+K150+K160+K170+K180+K190+K200+K210+K220+K230+K240+K250</f>
        <v>0</v>
      </c>
      <c r="L262" s="464"/>
      <c r="M262" s="464"/>
      <c r="N262" s="464">
        <f t="shared" ref="N262:N269" si="101">N140+N150+N160+N170+N180+N190+N200+N210+N220+N230+N240+N250</f>
        <v>0</v>
      </c>
      <c r="O262" s="464"/>
      <c r="P262" s="464"/>
      <c r="Q262" s="464">
        <f t="shared" ref="Q262:Q269" si="102">Q140+Q150+Q160+Q170+Q180+Q190+Q200+Q210+Q220+Q230+Q240+Q250</f>
        <v>0</v>
      </c>
      <c r="R262" s="398"/>
    </row>
    <row r="263" spans="2:18" x14ac:dyDescent="0.3">
      <c r="B263" s="568">
        <f t="shared" si="97"/>
        <v>13.2</v>
      </c>
      <c r="C263" s="414" t="s">
        <v>400</v>
      </c>
      <c r="D263" s="464"/>
      <c r="E263" s="464">
        <f t="shared" si="98"/>
        <v>0</v>
      </c>
      <c r="F263" s="464"/>
      <c r="G263" s="464"/>
      <c r="H263" s="464">
        <f t="shared" si="99"/>
        <v>0</v>
      </c>
      <c r="I263" s="464"/>
      <c r="J263" s="464"/>
      <c r="K263" s="464">
        <f t="shared" si="100"/>
        <v>0</v>
      </c>
      <c r="L263" s="464"/>
      <c r="M263" s="464"/>
      <c r="N263" s="464">
        <f t="shared" si="101"/>
        <v>0</v>
      </c>
      <c r="O263" s="464"/>
      <c r="P263" s="464"/>
      <c r="Q263" s="464">
        <f t="shared" si="102"/>
        <v>0</v>
      </c>
      <c r="R263" s="398"/>
    </row>
    <row r="264" spans="2:18" x14ac:dyDescent="0.3">
      <c r="B264" s="568">
        <f t="shared" si="97"/>
        <v>13.299999999999999</v>
      </c>
      <c r="C264" s="414" t="s">
        <v>342</v>
      </c>
      <c r="D264" s="464"/>
      <c r="E264" s="464">
        <f t="shared" si="98"/>
        <v>0</v>
      </c>
      <c r="F264" s="464"/>
      <c r="G264" s="464"/>
      <c r="H264" s="464">
        <f t="shared" si="99"/>
        <v>0</v>
      </c>
      <c r="I264" s="464"/>
      <c r="J264" s="464"/>
      <c r="K264" s="464">
        <f t="shared" si="100"/>
        <v>0</v>
      </c>
      <c r="L264" s="464"/>
      <c r="M264" s="464"/>
      <c r="N264" s="464">
        <f t="shared" si="101"/>
        <v>0</v>
      </c>
      <c r="O264" s="464"/>
      <c r="P264" s="464"/>
      <c r="Q264" s="464">
        <f t="shared" si="102"/>
        <v>0</v>
      </c>
      <c r="R264" s="398"/>
    </row>
    <row r="265" spans="2:18" x14ac:dyDescent="0.3">
      <c r="B265" s="568">
        <f t="shared" si="97"/>
        <v>13.399999999999999</v>
      </c>
      <c r="C265" s="414" t="s">
        <v>31</v>
      </c>
      <c r="D265" s="464"/>
      <c r="E265" s="464">
        <f t="shared" si="98"/>
        <v>4.1881235893067661</v>
      </c>
      <c r="F265" s="464"/>
      <c r="G265" s="464"/>
      <c r="H265" s="464">
        <f t="shared" si="99"/>
        <v>3.3789936279869774</v>
      </c>
      <c r="I265" s="464"/>
      <c r="J265" s="464"/>
      <c r="K265" s="464">
        <f t="shared" si="100"/>
        <v>0</v>
      </c>
      <c r="L265" s="464"/>
      <c r="M265" s="464"/>
      <c r="N265" s="464">
        <f t="shared" si="101"/>
        <v>0</v>
      </c>
      <c r="O265" s="464"/>
      <c r="P265" s="464"/>
      <c r="Q265" s="464">
        <f t="shared" si="102"/>
        <v>0</v>
      </c>
      <c r="R265" s="398"/>
    </row>
    <row r="266" spans="2:18" x14ac:dyDescent="0.3">
      <c r="B266" s="568">
        <f t="shared" si="97"/>
        <v>13.499999999999998</v>
      </c>
      <c r="C266" s="414" t="s">
        <v>32</v>
      </c>
      <c r="D266" s="464"/>
      <c r="E266" s="464">
        <f t="shared" si="98"/>
        <v>20.800649323575932</v>
      </c>
      <c r="F266" s="464"/>
      <c r="G266" s="464"/>
      <c r="H266" s="464">
        <f t="shared" si="99"/>
        <v>17.421655695588953</v>
      </c>
      <c r="I266" s="464"/>
      <c r="J266" s="464"/>
      <c r="K266" s="464">
        <f t="shared" si="100"/>
        <v>0</v>
      </c>
      <c r="L266" s="464"/>
      <c r="M266" s="464"/>
      <c r="N266" s="464">
        <f t="shared" si="101"/>
        <v>0</v>
      </c>
      <c r="O266" s="464"/>
      <c r="P266" s="464"/>
      <c r="Q266" s="464">
        <f t="shared" si="102"/>
        <v>0</v>
      </c>
      <c r="R266" s="398"/>
    </row>
    <row r="267" spans="2:18" x14ac:dyDescent="0.3">
      <c r="B267" s="568">
        <f t="shared" si="97"/>
        <v>13.599999999999998</v>
      </c>
      <c r="C267" s="414" t="s">
        <v>469</v>
      </c>
      <c r="D267" s="464"/>
      <c r="E267" s="464">
        <f t="shared" si="98"/>
        <v>22.894711118229313</v>
      </c>
      <c r="F267" s="464"/>
      <c r="G267" s="464"/>
      <c r="H267" s="464">
        <f t="shared" si="99"/>
        <v>19.111152509582439</v>
      </c>
      <c r="I267" s="464"/>
      <c r="J267" s="464"/>
      <c r="K267" s="464">
        <f t="shared" si="100"/>
        <v>0</v>
      </c>
      <c r="L267" s="464"/>
      <c r="M267" s="464"/>
      <c r="N267" s="464">
        <f t="shared" si="101"/>
        <v>0</v>
      </c>
      <c r="O267" s="464"/>
      <c r="P267" s="464"/>
      <c r="Q267" s="464">
        <f t="shared" si="102"/>
        <v>0</v>
      </c>
      <c r="R267" s="398"/>
    </row>
    <row r="268" spans="2:18" s="564" customFormat="1" x14ac:dyDescent="0.3">
      <c r="B268" s="572">
        <f t="shared" si="97"/>
        <v>13.699999999999998</v>
      </c>
      <c r="C268" s="560" t="s">
        <v>33</v>
      </c>
      <c r="D268" s="563"/>
      <c r="E268" s="561">
        <f>IFERROR(E269/E267,0)</f>
        <v>0.10763002776823602</v>
      </c>
      <c r="F268" s="563"/>
      <c r="G268" s="563"/>
      <c r="H268" s="561">
        <f>IFERROR(H269/H267,0)</f>
        <v>0.10462306086550234</v>
      </c>
      <c r="I268" s="563"/>
      <c r="J268" s="563"/>
      <c r="K268" s="563" t="e">
        <f t="shared" si="100"/>
        <v>#DIV/0!</v>
      </c>
      <c r="L268" s="563"/>
      <c r="M268" s="563"/>
      <c r="N268" s="563" t="e">
        <f t="shared" si="101"/>
        <v>#DIV/0!</v>
      </c>
      <c r="O268" s="563"/>
      <c r="P268" s="563"/>
      <c r="Q268" s="563" t="e">
        <f t="shared" si="102"/>
        <v>#DIV/0!</v>
      </c>
      <c r="R268" s="563"/>
    </row>
    <row r="269" spans="2:18" x14ac:dyDescent="0.3">
      <c r="B269" s="568">
        <f t="shared" si="97"/>
        <v>13.799999999999997</v>
      </c>
      <c r="C269" s="414" t="s">
        <v>34</v>
      </c>
      <c r="D269" s="464"/>
      <c r="E269" s="464">
        <f t="shared" si="98"/>
        <v>2.4641583934007629</v>
      </c>
      <c r="F269" s="464"/>
      <c r="G269" s="464"/>
      <c r="H269" s="464">
        <f t="shared" si="99"/>
        <v>1.9994672722199414</v>
      </c>
      <c r="I269" s="464"/>
      <c r="J269" s="464"/>
      <c r="K269" s="464">
        <f t="shared" si="100"/>
        <v>0</v>
      </c>
      <c r="L269" s="464"/>
      <c r="M269" s="464"/>
      <c r="N269" s="464">
        <f t="shared" si="101"/>
        <v>0</v>
      </c>
      <c r="O269" s="464"/>
      <c r="P269" s="464"/>
      <c r="Q269" s="464">
        <f t="shared" si="102"/>
        <v>0</v>
      </c>
      <c r="R269" s="398"/>
    </row>
    <row r="270" spans="2:18" x14ac:dyDescent="0.3">
      <c r="B270" s="568"/>
      <c r="C270" s="414"/>
      <c r="D270" s="464"/>
      <c r="E270" s="323"/>
      <c r="F270" s="464"/>
      <c r="G270" s="464"/>
      <c r="H270" s="464"/>
      <c r="I270" s="464"/>
      <c r="J270" s="464"/>
      <c r="K270" s="464"/>
      <c r="L270" s="464"/>
      <c r="M270" s="464"/>
      <c r="N270" s="464"/>
      <c r="O270" s="464"/>
      <c r="P270" s="464"/>
      <c r="Q270" s="464"/>
      <c r="R270" s="398"/>
    </row>
    <row r="271" spans="2:18" x14ac:dyDescent="0.3">
      <c r="B271" s="568"/>
      <c r="C271" s="414"/>
      <c r="D271" s="464"/>
      <c r="E271" s="464"/>
      <c r="F271" s="464"/>
      <c r="G271" s="464"/>
      <c r="H271" s="464"/>
      <c r="I271" s="464"/>
      <c r="J271" s="464"/>
      <c r="K271" s="464"/>
      <c r="L271" s="464"/>
      <c r="M271" s="464"/>
      <c r="N271" s="464"/>
      <c r="O271" s="464"/>
      <c r="P271" s="464"/>
      <c r="Q271" s="464"/>
      <c r="R271" s="398"/>
    </row>
    <row r="272" spans="2:18" x14ac:dyDescent="0.3">
      <c r="B272" s="568">
        <v>14</v>
      </c>
      <c r="C272" s="415" t="s">
        <v>35</v>
      </c>
      <c r="D272" s="464"/>
      <c r="E272" s="464">
        <f>E269</f>
        <v>2.4641583934007629</v>
      </c>
      <c r="F272" s="464"/>
      <c r="G272" s="464"/>
      <c r="H272" s="464">
        <f>H269</f>
        <v>1.9994672722199414</v>
      </c>
      <c r="I272" s="464"/>
      <c r="J272" s="464"/>
      <c r="K272" s="464">
        <f>K269</f>
        <v>0</v>
      </c>
      <c r="L272" s="464"/>
      <c r="M272" s="464"/>
      <c r="N272" s="464">
        <f>N269</f>
        <v>0</v>
      </c>
      <c r="O272" s="464"/>
      <c r="P272" s="464"/>
      <c r="Q272" s="464">
        <f>Q269</f>
        <v>0</v>
      </c>
      <c r="R272" s="398"/>
    </row>
    <row r="273" spans="2:18" x14ac:dyDescent="0.3">
      <c r="B273" s="568">
        <v>15</v>
      </c>
      <c r="C273" s="416" t="s">
        <v>36</v>
      </c>
      <c r="D273" s="464"/>
      <c r="E273" s="464"/>
      <c r="F273" s="464"/>
      <c r="G273" s="464"/>
      <c r="H273" s="464"/>
      <c r="I273" s="464"/>
      <c r="J273" s="464"/>
      <c r="K273" s="464"/>
      <c r="L273" s="464"/>
      <c r="M273" s="464"/>
      <c r="N273" s="464"/>
      <c r="O273" s="464"/>
      <c r="P273" s="464"/>
      <c r="Q273" s="464"/>
      <c r="R273" s="398"/>
    </row>
    <row r="274" spans="2:18" x14ac:dyDescent="0.25">
      <c r="B274" s="573">
        <v>16</v>
      </c>
      <c r="C274" s="417" t="s">
        <v>37</v>
      </c>
      <c r="D274" s="464"/>
      <c r="E274" s="464">
        <f>E272-E273</f>
        <v>2.4641583934007629</v>
      </c>
      <c r="F274" s="464"/>
      <c r="G274" s="464"/>
      <c r="H274" s="464">
        <f>H272-H273</f>
        <v>1.9994672722199414</v>
      </c>
      <c r="I274" s="464"/>
      <c r="J274" s="464"/>
      <c r="K274" s="464">
        <f>K272-K273</f>
        <v>0</v>
      </c>
      <c r="L274" s="464"/>
      <c r="M274" s="464"/>
      <c r="N274" s="464">
        <f>N272-N273</f>
        <v>0</v>
      </c>
      <c r="O274" s="464"/>
      <c r="P274" s="464"/>
      <c r="Q274" s="464">
        <f>Q272-Q273</f>
        <v>0</v>
      </c>
      <c r="R274" s="398"/>
    </row>
    <row r="277" spans="2:18" ht="17.5" x14ac:dyDescent="0.25">
      <c r="C277" s="653" t="s">
        <v>820</v>
      </c>
      <c r="D277" s="421"/>
      <c r="E277" s="421"/>
      <c r="F277" s="421"/>
      <c r="G277" s="421"/>
    </row>
    <row r="278" spans="2:18" x14ac:dyDescent="0.25">
      <c r="B278" s="575"/>
      <c r="M278" s="21" t="s">
        <v>10</v>
      </c>
    </row>
    <row r="279" spans="2:18" ht="21.65" customHeight="1" x14ac:dyDescent="0.25">
      <c r="B279" s="1777" t="s">
        <v>340</v>
      </c>
      <c r="C279" s="1774" t="s">
        <v>27</v>
      </c>
      <c r="D279" s="1782" t="s">
        <v>679</v>
      </c>
      <c r="E279" s="1783"/>
      <c r="F279" s="1784"/>
      <c r="G279" s="1782" t="s">
        <v>503</v>
      </c>
      <c r="H279" s="1783"/>
      <c r="I279" s="1784"/>
      <c r="J279" s="1740" t="s">
        <v>505</v>
      </c>
      <c r="K279" s="1741"/>
      <c r="L279" s="1742"/>
      <c r="M279" s="1740" t="s">
        <v>506</v>
      </c>
      <c r="N279" s="1742"/>
      <c r="O279" s="1740" t="s">
        <v>507</v>
      </c>
      <c r="P279" s="1741"/>
      <c r="Q279" s="1742"/>
      <c r="R279" s="1609" t="s">
        <v>28</v>
      </c>
    </row>
    <row r="280" spans="2:18" ht="43.5" customHeight="1" x14ac:dyDescent="0.25">
      <c r="B280" s="1778"/>
      <c r="C280" s="1775"/>
      <c r="D280" s="422" t="s">
        <v>448</v>
      </c>
      <c r="E280" s="423" t="s">
        <v>80</v>
      </c>
      <c r="F280" s="423" t="s">
        <v>449</v>
      </c>
      <c r="G280" s="422" t="s">
        <v>448</v>
      </c>
      <c r="H280" s="423" t="s">
        <v>80</v>
      </c>
      <c r="I280" s="423" t="s">
        <v>449</v>
      </c>
      <c r="J280" s="291" t="s">
        <v>448</v>
      </c>
      <c r="K280" s="332" t="s">
        <v>81</v>
      </c>
      <c r="L280" s="291" t="s">
        <v>450</v>
      </c>
      <c r="M280" s="291" t="s">
        <v>448</v>
      </c>
      <c r="N280" s="291" t="s">
        <v>674</v>
      </c>
      <c r="O280" s="291" t="s">
        <v>448</v>
      </c>
      <c r="P280" s="639"/>
      <c r="Q280" s="291" t="s">
        <v>674</v>
      </c>
      <c r="R280" s="1609"/>
    </row>
    <row r="281" spans="2:18" x14ac:dyDescent="0.25">
      <c r="B281" s="1779"/>
      <c r="C281" s="1776"/>
      <c r="D281" s="423" t="s">
        <v>82</v>
      </c>
      <c r="E281" s="423" t="s">
        <v>83</v>
      </c>
      <c r="F281" s="423" t="s">
        <v>675</v>
      </c>
      <c r="G281" s="423" t="s">
        <v>391</v>
      </c>
      <c r="H281" s="423" t="s">
        <v>409</v>
      </c>
      <c r="I281" s="423" t="s">
        <v>454</v>
      </c>
      <c r="J281" s="291" t="s">
        <v>653</v>
      </c>
      <c r="K281" s="332" t="s">
        <v>589</v>
      </c>
      <c r="L281" s="291" t="s">
        <v>710</v>
      </c>
      <c r="M281" s="291" t="s">
        <v>591</v>
      </c>
      <c r="N281" s="291" t="s">
        <v>592</v>
      </c>
      <c r="O281" s="291" t="s">
        <v>654</v>
      </c>
      <c r="P281" s="639"/>
      <c r="Q281" s="291" t="s">
        <v>593</v>
      </c>
      <c r="R281" s="1610"/>
    </row>
    <row r="282" spans="2:18" x14ac:dyDescent="0.3">
      <c r="B282" s="568"/>
      <c r="C282" s="425"/>
      <c r="D282" s="415"/>
      <c r="E282" s="415"/>
      <c r="F282" s="415"/>
      <c r="G282" s="415"/>
      <c r="H282" s="425"/>
      <c r="I282" s="425"/>
      <c r="J282" s="24"/>
      <c r="K282" s="114"/>
      <c r="L282" s="24"/>
      <c r="M282" s="24"/>
      <c r="N282" s="24"/>
      <c r="O282" s="24"/>
      <c r="P282" s="24"/>
      <c r="Q282" s="24"/>
      <c r="R282" s="24"/>
    </row>
    <row r="283" spans="2:18" ht="15" customHeight="1" x14ac:dyDescent="0.3">
      <c r="B283" s="570">
        <v>1</v>
      </c>
      <c r="C283" s="415" t="s">
        <v>422</v>
      </c>
      <c r="D283" s="426"/>
      <c r="E283" s="426"/>
      <c r="F283" s="426"/>
      <c r="G283" s="426"/>
      <c r="H283" s="426"/>
      <c r="I283" s="426"/>
      <c r="J283" s="399"/>
      <c r="K283" s="399"/>
      <c r="L283" s="399"/>
      <c r="M283" s="399"/>
      <c r="N283" s="399"/>
      <c r="O283" s="399"/>
      <c r="P283" s="399"/>
      <c r="Q283" s="399"/>
      <c r="R283" s="399"/>
    </row>
    <row r="284" spans="2:18" ht="15" customHeight="1" x14ac:dyDescent="0.3">
      <c r="B284" s="568">
        <v>1.1000000000000001</v>
      </c>
      <c r="C284" s="414" t="s">
        <v>30</v>
      </c>
      <c r="D284" s="426"/>
      <c r="E284" s="426"/>
      <c r="F284" s="426"/>
      <c r="G284" s="426"/>
      <c r="H284" s="426"/>
      <c r="I284" s="426"/>
      <c r="J284" s="399"/>
      <c r="K284" s="399"/>
      <c r="L284" s="399"/>
      <c r="M284" s="399"/>
      <c r="N284" s="399"/>
      <c r="O284" s="399"/>
      <c r="P284" s="399"/>
      <c r="Q284" s="399"/>
      <c r="R284" s="399"/>
    </row>
    <row r="285" spans="2:18" ht="15" customHeight="1" x14ac:dyDescent="0.3">
      <c r="B285" s="568">
        <f t="shared" ref="B285:B291" si="103">B284+0.1</f>
        <v>1.2000000000000002</v>
      </c>
      <c r="C285" s="414" t="s">
        <v>400</v>
      </c>
      <c r="D285" s="426"/>
      <c r="E285" s="426"/>
      <c r="F285" s="426"/>
      <c r="G285" s="426"/>
      <c r="H285" s="426"/>
      <c r="I285" s="426"/>
      <c r="J285" s="399"/>
      <c r="K285" s="399"/>
      <c r="L285" s="399"/>
      <c r="M285" s="399"/>
      <c r="N285" s="399"/>
      <c r="O285" s="399"/>
      <c r="P285" s="399"/>
      <c r="Q285" s="399"/>
      <c r="R285" s="399"/>
    </row>
    <row r="286" spans="2:18" ht="15" customHeight="1" x14ac:dyDescent="0.3">
      <c r="B286" s="568">
        <f t="shared" si="103"/>
        <v>1.3000000000000003</v>
      </c>
      <c r="C286" s="414" t="s">
        <v>342</v>
      </c>
      <c r="D286" s="426"/>
      <c r="E286" s="426"/>
      <c r="F286" s="426"/>
      <c r="G286" s="426"/>
      <c r="H286" s="426"/>
      <c r="I286" s="426"/>
      <c r="J286" s="399"/>
      <c r="K286" s="399"/>
      <c r="L286" s="399"/>
      <c r="M286" s="399"/>
      <c r="N286" s="399"/>
      <c r="O286" s="399"/>
      <c r="P286" s="399"/>
      <c r="Q286" s="399"/>
      <c r="R286" s="399"/>
    </row>
    <row r="287" spans="2:18" ht="15" customHeight="1" x14ac:dyDescent="0.3">
      <c r="B287" s="568">
        <f t="shared" si="103"/>
        <v>1.4000000000000004</v>
      </c>
      <c r="C287" s="414" t="s">
        <v>31</v>
      </c>
      <c r="D287" s="426"/>
      <c r="E287" s="426"/>
      <c r="F287" s="426"/>
      <c r="G287" s="426"/>
      <c r="H287" s="426"/>
      <c r="I287" s="426"/>
      <c r="J287" s="399"/>
      <c r="K287" s="399"/>
      <c r="L287" s="399"/>
      <c r="M287" s="399"/>
      <c r="N287" s="399"/>
      <c r="O287" s="399"/>
      <c r="P287" s="399"/>
      <c r="Q287" s="399"/>
      <c r="R287" s="399"/>
    </row>
    <row r="288" spans="2:18" ht="15" customHeight="1" x14ac:dyDescent="0.3">
      <c r="B288" s="568">
        <f t="shared" si="103"/>
        <v>1.5000000000000004</v>
      </c>
      <c r="C288" s="414" t="s">
        <v>32</v>
      </c>
      <c r="D288" s="426"/>
      <c r="E288" s="411">
        <f>+E284-E285+E286-E287</f>
        <v>0</v>
      </c>
      <c r="F288" s="411"/>
      <c r="G288" s="411"/>
      <c r="H288" s="411">
        <f>+H284-H285+H286-H287</f>
        <v>0</v>
      </c>
      <c r="I288" s="411"/>
      <c r="J288" s="400"/>
      <c r="K288" s="400">
        <f>+K284-K285+K286-K287</f>
        <v>0</v>
      </c>
      <c r="L288" s="400"/>
      <c r="M288" s="400"/>
      <c r="N288" s="400">
        <f>+M284-M285+M286-M287</f>
        <v>0</v>
      </c>
      <c r="O288" s="400"/>
      <c r="P288" s="400"/>
      <c r="Q288" s="400">
        <f>+O284-O285+O286-O287</f>
        <v>0</v>
      </c>
      <c r="R288" s="400"/>
    </row>
    <row r="289" spans="2:18" ht="15" customHeight="1" x14ac:dyDescent="0.3">
      <c r="B289" s="568">
        <f t="shared" si="103"/>
        <v>1.6000000000000005</v>
      </c>
      <c r="C289" s="414" t="s">
        <v>469</v>
      </c>
      <c r="D289" s="426"/>
      <c r="E289" s="740">
        <f>AVERAGE(E284,E288)</f>
        <v>0</v>
      </c>
      <c r="F289" s="411"/>
      <c r="G289" s="411"/>
      <c r="H289" s="411"/>
      <c r="I289" s="411"/>
      <c r="J289" s="400"/>
      <c r="K289" s="400"/>
      <c r="L289" s="400"/>
      <c r="M289" s="400"/>
      <c r="N289" s="400"/>
      <c r="O289" s="400"/>
      <c r="P289" s="400"/>
      <c r="Q289" s="400"/>
      <c r="R289" s="400"/>
    </row>
    <row r="290" spans="2:18" ht="15" customHeight="1" x14ac:dyDescent="0.3">
      <c r="B290" s="568">
        <f t="shared" si="103"/>
        <v>1.7000000000000006</v>
      </c>
      <c r="C290" s="414" t="s">
        <v>33</v>
      </c>
      <c r="D290" s="426"/>
      <c r="E290" s="561">
        <f>IFERROR(E291/E289,0)</f>
        <v>0</v>
      </c>
      <c r="F290" s="411"/>
      <c r="G290" s="411"/>
      <c r="H290" s="411" t="e">
        <f>H291/H289</f>
        <v>#DIV/0!</v>
      </c>
      <c r="I290" s="411"/>
      <c r="J290" s="400"/>
      <c r="K290" s="400" t="e">
        <f>K291/K289</f>
        <v>#DIV/0!</v>
      </c>
      <c r="L290" s="400"/>
      <c r="M290" s="400"/>
      <c r="N290" s="400" t="e">
        <f>M291/N289</f>
        <v>#DIV/0!</v>
      </c>
      <c r="O290" s="400"/>
      <c r="P290" s="400"/>
      <c r="Q290" s="400" t="e">
        <f>O291/Q289</f>
        <v>#DIV/0!</v>
      </c>
      <c r="R290" s="400"/>
    </row>
    <row r="291" spans="2:18" ht="15" customHeight="1" x14ac:dyDescent="0.3">
      <c r="B291" s="568">
        <f t="shared" si="103"/>
        <v>1.8000000000000007</v>
      </c>
      <c r="C291" s="414" t="s">
        <v>34</v>
      </c>
      <c r="D291" s="426"/>
      <c r="E291" s="426"/>
      <c r="F291" s="426"/>
      <c r="G291" s="426"/>
      <c r="H291" s="426"/>
      <c r="I291" s="426"/>
      <c r="J291" s="399"/>
      <c r="K291" s="399"/>
      <c r="L291" s="399"/>
      <c r="M291" s="399"/>
      <c r="N291" s="399"/>
      <c r="O291" s="399"/>
      <c r="P291" s="399"/>
      <c r="Q291" s="399"/>
      <c r="R291" s="399"/>
    </row>
    <row r="292" spans="2:18" ht="15" customHeight="1" x14ac:dyDescent="0.3">
      <c r="B292" s="568"/>
      <c r="C292" s="414"/>
      <c r="D292" s="426"/>
      <c r="E292" s="426"/>
      <c r="F292" s="426"/>
      <c r="G292" s="426"/>
      <c r="H292" s="426"/>
      <c r="I292" s="426"/>
      <c r="J292" s="399"/>
      <c r="K292" s="399"/>
      <c r="L292" s="399"/>
      <c r="M292" s="399"/>
      <c r="N292" s="399"/>
      <c r="O292" s="399"/>
      <c r="P292" s="399"/>
      <c r="Q292" s="399"/>
      <c r="R292" s="399"/>
    </row>
    <row r="293" spans="2:18" ht="15" customHeight="1" x14ac:dyDescent="0.3">
      <c r="B293" s="570">
        <v>2</v>
      </c>
      <c r="C293" s="415" t="s">
        <v>421</v>
      </c>
      <c r="D293" s="426"/>
      <c r="E293" s="426"/>
      <c r="F293" s="426"/>
      <c r="G293" s="426"/>
      <c r="H293" s="426"/>
      <c r="I293" s="426"/>
      <c r="J293" s="399"/>
      <c r="K293" s="399"/>
      <c r="L293" s="399"/>
      <c r="M293" s="399"/>
      <c r="N293" s="399"/>
      <c r="O293" s="399"/>
      <c r="P293" s="399"/>
      <c r="Q293" s="399"/>
      <c r="R293" s="399"/>
    </row>
    <row r="294" spans="2:18" ht="15" customHeight="1" x14ac:dyDescent="0.3">
      <c r="B294" s="568">
        <f t="shared" ref="B294:B301" si="104">B293+0.1</f>
        <v>2.1</v>
      </c>
      <c r="C294" s="414" t="s">
        <v>30</v>
      </c>
      <c r="D294" s="426"/>
      <c r="E294" s="426"/>
      <c r="F294" s="426"/>
      <c r="G294" s="426"/>
      <c r="H294" s="426"/>
      <c r="I294" s="426"/>
      <c r="J294" s="399"/>
      <c r="K294" s="399"/>
      <c r="L294" s="399"/>
      <c r="M294" s="399"/>
      <c r="N294" s="399"/>
      <c r="O294" s="399"/>
      <c r="P294" s="399"/>
      <c r="Q294" s="399"/>
      <c r="R294" s="399"/>
    </row>
    <row r="295" spans="2:18" ht="15" customHeight="1" x14ac:dyDescent="0.3">
      <c r="B295" s="568">
        <f t="shared" si="104"/>
        <v>2.2000000000000002</v>
      </c>
      <c r="C295" s="414" t="s">
        <v>400</v>
      </c>
      <c r="D295" s="426"/>
      <c r="E295" s="426"/>
      <c r="F295" s="426"/>
      <c r="G295" s="426"/>
      <c r="H295" s="426"/>
      <c r="I295" s="426"/>
      <c r="J295" s="399"/>
      <c r="K295" s="399"/>
      <c r="L295" s="399"/>
      <c r="M295" s="399"/>
      <c r="N295" s="399"/>
      <c r="O295" s="399"/>
      <c r="P295" s="399"/>
      <c r="Q295" s="399"/>
      <c r="R295" s="399"/>
    </row>
    <row r="296" spans="2:18" ht="15" customHeight="1" x14ac:dyDescent="0.3">
      <c r="B296" s="568">
        <f t="shared" si="104"/>
        <v>2.3000000000000003</v>
      </c>
      <c r="C296" s="414" t="s">
        <v>342</v>
      </c>
      <c r="D296" s="426"/>
      <c r="E296" s="426"/>
      <c r="F296" s="426"/>
      <c r="G296" s="426"/>
      <c r="H296" s="426"/>
      <c r="I296" s="426"/>
      <c r="J296" s="399"/>
      <c r="K296" s="399"/>
      <c r="L296" s="399"/>
      <c r="M296" s="399"/>
      <c r="N296" s="399"/>
      <c r="O296" s="399"/>
      <c r="P296" s="399"/>
      <c r="Q296" s="399"/>
      <c r="R296" s="399"/>
    </row>
    <row r="297" spans="2:18" ht="15" customHeight="1" x14ac:dyDescent="0.3">
      <c r="B297" s="568">
        <f t="shared" si="104"/>
        <v>2.4000000000000004</v>
      </c>
      <c r="C297" s="414" t="s">
        <v>31</v>
      </c>
      <c r="D297" s="426"/>
      <c r="E297" s="426"/>
      <c r="F297" s="426"/>
      <c r="G297" s="426"/>
      <c r="H297" s="426"/>
      <c r="I297" s="426"/>
      <c r="J297" s="399"/>
      <c r="K297" s="399"/>
      <c r="L297" s="399"/>
      <c r="M297" s="399"/>
      <c r="N297" s="399"/>
      <c r="O297" s="399"/>
      <c r="P297" s="399"/>
      <c r="Q297" s="399"/>
      <c r="R297" s="399"/>
    </row>
    <row r="298" spans="2:18" ht="15" customHeight="1" x14ac:dyDescent="0.3">
      <c r="B298" s="568">
        <f t="shared" si="104"/>
        <v>2.5000000000000004</v>
      </c>
      <c r="C298" s="414" t="s">
        <v>32</v>
      </c>
      <c r="D298" s="426"/>
      <c r="E298" s="411">
        <f>+E294-E295+E296-E297</f>
        <v>0</v>
      </c>
      <c r="F298" s="411"/>
      <c r="G298" s="411"/>
      <c r="H298" s="411">
        <f>+H294-H295+H296-H297</f>
        <v>0</v>
      </c>
      <c r="I298" s="411"/>
      <c r="J298" s="400"/>
      <c r="K298" s="400">
        <f>+K294-K295+K296-K297</f>
        <v>0</v>
      </c>
      <c r="L298" s="400"/>
      <c r="M298" s="400"/>
      <c r="N298" s="400">
        <f>+M294-M295+M296-M297</f>
        <v>0</v>
      </c>
      <c r="O298" s="400"/>
      <c r="P298" s="400"/>
      <c r="Q298" s="400">
        <f>+O294-O295+O296-O297</f>
        <v>0</v>
      </c>
      <c r="R298" s="400"/>
    </row>
    <row r="299" spans="2:18" ht="15" customHeight="1" x14ac:dyDescent="0.3">
      <c r="B299" s="568">
        <f t="shared" si="104"/>
        <v>2.6000000000000005</v>
      </c>
      <c r="C299" s="414" t="s">
        <v>469</v>
      </c>
      <c r="D299" s="426"/>
      <c r="E299" s="740">
        <f>AVERAGE(E294,E298)</f>
        <v>0</v>
      </c>
      <c r="F299" s="411"/>
      <c r="G299" s="411"/>
      <c r="H299" s="411"/>
      <c r="I299" s="411"/>
      <c r="J299" s="400"/>
      <c r="K299" s="400"/>
      <c r="L299" s="400"/>
      <c r="M299" s="400"/>
      <c r="N299" s="400"/>
      <c r="O299" s="400"/>
      <c r="P299" s="400"/>
      <c r="Q299" s="400"/>
      <c r="R299" s="400"/>
    </row>
    <row r="300" spans="2:18" ht="15" customHeight="1" x14ac:dyDescent="0.3">
      <c r="B300" s="568">
        <f t="shared" si="104"/>
        <v>2.7000000000000006</v>
      </c>
      <c r="C300" s="414" t="s">
        <v>33</v>
      </c>
      <c r="D300" s="426"/>
      <c r="E300" s="561">
        <f>IFERROR(E301/E299,0)</f>
        <v>0</v>
      </c>
      <c r="F300" s="411"/>
      <c r="G300" s="411"/>
      <c r="H300" s="411" t="e">
        <f>H301/H299</f>
        <v>#DIV/0!</v>
      </c>
      <c r="I300" s="411"/>
      <c r="J300" s="400"/>
      <c r="K300" s="400" t="e">
        <f>K301/K299</f>
        <v>#DIV/0!</v>
      </c>
      <c r="L300" s="400"/>
      <c r="M300" s="400"/>
      <c r="N300" s="400" t="e">
        <f>M301/N299</f>
        <v>#DIV/0!</v>
      </c>
      <c r="O300" s="400"/>
      <c r="P300" s="400"/>
      <c r="Q300" s="400" t="e">
        <f>O301/Q299</f>
        <v>#DIV/0!</v>
      </c>
      <c r="R300" s="400"/>
    </row>
    <row r="301" spans="2:18" ht="15" customHeight="1" x14ac:dyDescent="0.3">
      <c r="B301" s="568">
        <f t="shared" si="104"/>
        <v>2.8000000000000007</v>
      </c>
      <c r="C301" s="414" t="s">
        <v>34</v>
      </c>
      <c r="D301" s="426"/>
      <c r="E301" s="426"/>
      <c r="F301" s="426"/>
      <c r="G301" s="426"/>
      <c r="H301" s="426"/>
      <c r="I301" s="426"/>
      <c r="J301" s="399"/>
      <c r="K301" s="399"/>
      <c r="L301" s="399"/>
      <c r="M301" s="399"/>
      <c r="N301" s="399"/>
      <c r="O301" s="399"/>
      <c r="P301" s="399"/>
      <c r="Q301" s="399"/>
      <c r="R301" s="399"/>
    </row>
    <row r="302" spans="2:18" ht="15" customHeight="1" x14ac:dyDescent="0.3">
      <c r="B302" s="568"/>
      <c r="C302" s="414"/>
      <c r="D302" s="426"/>
      <c r="E302" s="426"/>
      <c r="F302" s="426"/>
      <c r="G302" s="426"/>
      <c r="H302" s="426"/>
      <c r="I302" s="426"/>
      <c r="J302" s="399"/>
      <c r="K302" s="399"/>
      <c r="L302" s="399"/>
      <c r="M302" s="399"/>
      <c r="N302" s="399"/>
      <c r="O302" s="399"/>
      <c r="P302" s="399"/>
      <c r="Q302" s="399"/>
      <c r="R302" s="399"/>
    </row>
    <row r="303" spans="2:18" ht="15" customHeight="1" x14ac:dyDescent="0.3">
      <c r="B303" s="570">
        <v>3</v>
      </c>
      <c r="C303" s="415" t="s">
        <v>485</v>
      </c>
      <c r="D303" s="426"/>
      <c r="E303" s="426"/>
      <c r="F303" s="426"/>
      <c r="G303" s="426"/>
      <c r="H303" s="426"/>
      <c r="I303" s="426"/>
      <c r="J303" s="399"/>
      <c r="K303" s="399"/>
      <c r="L303" s="399"/>
      <c r="M303" s="399"/>
      <c r="N303" s="399"/>
      <c r="O303" s="399"/>
      <c r="P303" s="399"/>
      <c r="Q303" s="399"/>
      <c r="R303" s="399"/>
    </row>
    <row r="304" spans="2:18" ht="15" customHeight="1" x14ac:dyDescent="0.3">
      <c r="B304" s="568"/>
      <c r="C304" s="414" t="s">
        <v>25</v>
      </c>
      <c r="D304" s="426"/>
      <c r="E304" s="426"/>
      <c r="F304" s="426"/>
      <c r="G304" s="426"/>
      <c r="H304" s="426"/>
      <c r="I304" s="426"/>
      <c r="J304" s="399"/>
      <c r="K304" s="399"/>
      <c r="L304" s="399"/>
      <c r="M304" s="399"/>
      <c r="N304" s="399"/>
      <c r="O304" s="399"/>
      <c r="P304" s="399"/>
      <c r="Q304" s="399"/>
      <c r="R304" s="399"/>
    </row>
    <row r="305" spans="2:18" ht="15" customHeight="1" x14ac:dyDescent="0.3">
      <c r="B305" s="568"/>
      <c r="C305" s="414" t="s">
        <v>25</v>
      </c>
      <c r="D305" s="426"/>
      <c r="E305" s="426"/>
      <c r="F305" s="426"/>
      <c r="G305" s="426"/>
      <c r="H305" s="426"/>
      <c r="I305" s="426"/>
      <c r="J305" s="399"/>
      <c r="K305" s="399"/>
      <c r="L305" s="399"/>
      <c r="M305" s="399"/>
      <c r="N305" s="399"/>
      <c r="O305" s="399"/>
      <c r="P305" s="399"/>
      <c r="Q305" s="399"/>
      <c r="R305" s="399"/>
    </row>
    <row r="306" spans="2:18" ht="15" customHeight="1" x14ac:dyDescent="0.3">
      <c r="B306" s="568"/>
      <c r="C306" s="414" t="s">
        <v>25</v>
      </c>
      <c r="D306" s="426"/>
      <c r="E306" s="426"/>
      <c r="F306" s="426"/>
      <c r="G306" s="426"/>
      <c r="H306" s="426"/>
      <c r="I306" s="426"/>
      <c r="J306" s="399"/>
      <c r="K306" s="399"/>
      <c r="L306" s="399"/>
      <c r="M306" s="399"/>
      <c r="N306" s="399"/>
      <c r="O306" s="399"/>
      <c r="P306" s="399"/>
      <c r="Q306" s="399"/>
      <c r="R306" s="399"/>
    </row>
    <row r="307" spans="2:18" ht="15" customHeight="1" x14ac:dyDescent="0.3">
      <c r="B307" s="568"/>
      <c r="C307" s="414"/>
      <c r="D307" s="426"/>
      <c r="E307" s="426"/>
      <c r="F307" s="426"/>
      <c r="G307" s="426"/>
      <c r="H307" s="426"/>
      <c r="I307" s="426"/>
      <c r="J307" s="399"/>
      <c r="K307" s="399"/>
      <c r="L307" s="399"/>
      <c r="M307" s="399"/>
      <c r="N307" s="399"/>
      <c r="O307" s="399"/>
      <c r="P307" s="399"/>
      <c r="Q307" s="399"/>
      <c r="R307" s="399"/>
    </row>
    <row r="308" spans="2:18" ht="15" customHeight="1" x14ac:dyDescent="0.3">
      <c r="B308" s="570">
        <v>10</v>
      </c>
      <c r="C308" s="415" t="s">
        <v>271</v>
      </c>
      <c r="D308" s="426"/>
      <c r="E308" s="426"/>
      <c r="F308" s="426"/>
      <c r="G308" s="426"/>
      <c r="H308" s="426"/>
      <c r="I308" s="426"/>
      <c r="J308" s="399"/>
      <c r="K308" s="399"/>
      <c r="L308" s="399"/>
      <c r="M308" s="399"/>
      <c r="N308" s="399"/>
      <c r="O308" s="399"/>
      <c r="P308" s="399"/>
      <c r="Q308" s="399"/>
      <c r="R308" s="399"/>
    </row>
    <row r="309" spans="2:18" ht="15" customHeight="1" x14ac:dyDescent="0.3">
      <c r="B309" s="568">
        <f t="shared" ref="B309:B316" si="105">B308+0.1</f>
        <v>10.1</v>
      </c>
      <c r="C309" s="414" t="s">
        <v>30</v>
      </c>
      <c r="D309" s="426"/>
      <c r="E309" s="426"/>
      <c r="F309" s="426"/>
      <c r="G309" s="426"/>
      <c r="H309" s="426"/>
      <c r="I309" s="426"/>
      <c r="J309" s="399"/>
      <c r="K309" s="399"/>
      <c r="L309" s="399"/>
      <c r="M309" s="399"/>
      <c r="N309" s="399"/>
      <c r="O309" s="399"/>
      <c r="P309" s="399"/>
      <c r="Q309" s="399"/>
      <c r="R309" s="399"/>
    </row>
    <row r="310" spans="2:18" ht="15" customHeight="1" x14ac:dyDescent="0.3">
      <c r="B310" s="568">
        <f t="shared" si="105"/>
        <v>10.199999999999999</v>
      </c>
      <c r="C310" s="414" t="s">
        <v>400</v>
      </c>
      <c r="D310" s="426"/>
      <c r="E310" s="426"/>
      <c r="F310" s="426"/>
      <c r="G310" s="426"/>
      <c r="H310" s="426"/>
      <c r="I310" s="426"/>
      <c r="J310" s="399"/>
      <c r="K310" s="399"/>
      <c r="L310" s="399"/>
      <c r="M310" s="399"/>
      <c r="N310" s="399"/>
      <c r="O310" s="399"/>
      <c r="P310" s="399"/>
      <c r="Q310" s="399"/>
      <c r="R310" s="399"/>
    </row>
    <row r="311" spans="2:18" ht="15" customHeight="1" x14ac:dyDescent="0.3">
      <c r="B311" s="568">
        <f t="shared" si="105"/>
        <v>10.299999999999999</v>
      </c>
      <c r="C311" s="414" t="s">
        <v>342</v>
      </c>
      <c r="D311" s="426"/>
      <c r="E311" s="426"/>
      <c r="F311" s="426"/>
      <c r="G311" s="426"/>
      <c r="H311" s="426"/>
      <c r="I311" s="426"/>
      <c r="J311" s="399"/>
      <c r="K311" s="399"/>
      <c r="L311" s="399"/>
      <c r="M311" s="399"/>
      <c r="N311" s="399"/>
      <c r="O311" s="399"/>
      <c r="P311" s="399"/>
      <c r="Q311" s="399"/>
      <c r="R311" s="399"/>
    </row>
    <row r="312" spans="2:18" ht="15" customHeight="1" x14ac:dyDescent="0.3">
      <c r="B312" s="568">
        <f t="shared" si="105"/>
        <v>10.399999999999999</v>
      </c>
      <c r="C312" s="414" t="s">
        <v>31</v>
      </c>
      <c r="D312" s="426"/>
      <c r="E312" s="426"/>
      <c r="F312" s="426"/>
      <c r="G312" s="426"/>
      <c r="H312" s="426"/>
      <c r="I312" s="426"/>
      <c r="J312" s="399"/>
      <c r="K312" s="399"/>
      <c r="L312" s="399"/>
      <c r="M312" s="399"/>
      <c r="N312" s="399"/>
      <c r="O312" s="399"/>
      <c r="P312" s="399"/>
      <c r="Q312" s="399"/>
      <c r="R312" s="399"/>
    </row>
    <row r="313" spans="2:18" ht="15" customHeight="1" x14ac:dyDescent="0.3">
      <c r="B313" s="568">
        <f t="shared" si="105"/>
        <v>10.499999999999998</v>
      </c>
      <c r="C313" s="414" t="s">
        <v>32</v>
      </c>
      <c r="D313" s="426"/>
      <c r="E313" s="426"/>
      <c r="F313" s="426"/>
      <c r="G313" s="426"/>
      <c r="H313" s="426"/>
      <c r="I313" s="426"/>
      <c r="J313" s="399"/>
      <c r="K313" s="399"/>
      <c r="L313" s="399"/>
      <c r="M313" s="399"/>
      <c r="N313" s="399"/>
      <c r="O313" s="399"/>
      <c r="P313" s="399"/>
      <c r="Q313" s="399"/>
      <c r="R313" s="399"/>
    </row>
    <row r="314" spans="2:18" ht="15" customHeight="1" x14ac:dyDescent="0.3">
      <c r="B314" s="568">
        <f t="shared" si="105"/>
        <v>10.599999999999998</v>
      </c>
      <c r="C314" s="414" t="s">
        <v>469</v>
      </c>
      <c r="D314" s="426"/>
      <c r="E314" s="426"/>
      <c r="F314" s="426"/>
      <c r="G314" s="426"/>
      <c r="H314" s="426"/>
      <c r="I314" s="426"/>
      <c r="J314" s="399"/>
      <c r="K314" s="399"/>
      <c r="L314" s="399"/>
      <c r="M314" s="399"/>
      <c r="N314" s="399"/>
      <c r="O314" s="399"/>
      <c r="P314" s="399"/>
      <c r="Q314" s="399"/>
      <c r="R314" s="399"/>
    </row>
    <row r="315" spans="2:18" ht="15" customHeight="1" x14ac:dyDescent="0.3">
      <c r="B315" s="568">
        <f t="shared" si="105"/>
        <v>10.699999999999998</v>
      </c>
      <c r="C315" s="414" t="s">
        <v>33</v>
      </c>
      <c r="D315" s="426"/>
      <c r="E315" s="561">
        <f>IFERROR(E316/E314,0)</f>
        <v>0</v>
      </c>
      <c r="F315" s="426"/>
      <c r="G315" s="426"/>
      <c r="H315" s="426"/>
      <c r="I315" s="426"/>
      <c r="J315" s="399"/>
      <c r="K315" s="399"/>
      <c r="L315" s="399"/>
      <c r="M315" s="399"/>
      <c r="N315" s="399"/>
      <c r="O315" s="399"/>
      <c r="P315" s="399"/>
      <c r="Q315" s="399"/>
      <c r="R315" s="399"/>
    </row>
    <row r="316" spans="2:18" ht="15" customHeight="1" x14ac:dyDescent="0.3">
      <c r="B316" s="568">
        <f t="shared" si="105"/>
        <v>10.799999999999997</v>
      </c>
      <c r="C316" s="414" t="s">
        <v>34</v>
      </c>
      <c r="D316" s="426"/>
      <c r="E316" s="426"/>
      <c r="F316" s="426"/>
      <c r="G316" s="426"/>
      <c r="H316" s="426"/>
      <c r="I316" s="426"/>
      <c r="J316" s="399"/>
      <c r="K316" s="399"/>
      <c r="L316" s="399"/>
      <c r="M316" s="399"/>
      <c r="N316" s="399"/>
      <c r="O316" s="399"/>
      <c r="P316" s="399"/>
      <c r="Q316" s="399"/>
      <c r="R316" s="399"/>
    </row>
    <row r="317" spans="2:18" ht="15" customHeight="1" x14ac:dyDescent="0.3">
      <c r="B317" s="568"/>
      <c r="C317" s="415"/>
      <c r="D317" s="426"/>
      <c r="E317" s="426"/>
      <c r="F317" s="426"/>
      <c r="G317" s="426"/>
      <c r="H317" s="426"/>
      <c r="I317" s="426"/>
      <c r="J317" s="399"/>
      <c r="K317" s="399"/>
      <c r="L317" s="399"/>
      <c r="M317" s="399"/>
      <c r="N317" s="399"/>
      <c r="O317" s="399"/>
      <c r="P317" s="399"/>
      <c r="Q317" s="399"/>
      <c r="R317" s="399"/>
    </row>
    <row r="318" spans="2:18" ht="15" customHeight="1" x14ac:dyDescent="0.3">
      <c r="B318" s="568"/>
      <c r="C318" s="414"/>
      <c r="D318" s="426"/>
      <c r="E318" s="426"/>
      <c r="F318" s="426"/>
      <c r="G318" s="426"/>
      <c r="H318" s="426"/>
      <c r="I318" s="426"/>
      <c r="J318" s="399"/>
      <c r="K318" s="399"/>
      <c r="L318" s="399"/>
      <c r="M318" s="399"/>
      <c r="N318" s="399"/>
      <c r="O318" s="399"/>
      <c r="P318" s="399"/>
      <c r="Q318" s="399"/>
      <c r="R318" s="399"/>
    </row>
    <row r="319" spans="2:18" ht="15" customHeight="1" x14ac:dyDescent="0.3">
      <c r="B319" s="568">
        <v>9</v>
      </c>
      <c r="C319" s="415" t="s">
        <v>35</v>
      </c>
      <c r="D319" s="426"/>
      <c r="E319" s="426"/>
      <c r="F319" s="426"/>
      <c r="G319" s="426"/>
      <c r="H319" s="426"/>
      <c r="I319" s="426"/>
      <c r="J319" s="399"/>
      <c r="K319" s="399"/>
      <c r="L319" s="399"/>
      <c r="M319" s="399"/>
      <c r="N319" s="399"/>
      <c r="O319" s="399"/>
      <c r="P319" s="399"/>
      <c r="Q319" s="399"/>
      <c r="R319" s="399"/>
    </row>
    <row r="320" spans="2:18" ht="15" customHeight="1" x14ac:dyDescent="0.3">
      <c r="B320" s="568">
        <v>10</v>
      </c>
      <c r="C320" s="416" t="s">
        <v>36</v>
      </c>
      <c r="D320" s="426"/>
      <c r="E320" s="426"/>
      <c r="F320" s="426"/>
      <c r="G320" s="426"/>
      <c r="H320" s="426"/>
      <c r="I320" s="426"/>
      <c r="J320" s="399"/>
      <c r="K320" s="399"/>
      <c r="L320" s="399"/>
      <c r="M320" s="399"/>
      <c r="N320" s="399"/>
      <c r="O320" s="399"/>
      <c r="P320" s="399"/>
      <c r="Q320" s="399"/>
      <c r="R320" s="399"/>
    </row>
    <row r="321" spans="2:18" ht="15" customHeight="1" x14ac:dyDescent="0.25">
      <c r="B321" s="570">
        <v>11</v>
      </c>
      <c r="C321" s="427" t="s">
        <v>37</v>
      </c>
      <c r="D321" s="426"/>
      <c r="E321" s="426"/>
      <c r="F321" s="426"/>
      <c r="G321" s="426"/>
      <c r="H321" s="426"/>
      <c r="I321" s="426"/>
      <c r="J321" s="399"/>
      <c r="K321" s="399"/>
      <c r="L321" s="399"/>
      <c r="M321" s="399"/>
      <c r="N321" s="399"/>
      <c r="O321" s="399"/>
      <c r="P321" s="399"/>
      <c r="Q321" s="399"/>
      <c r="R321" s="399"/>
    </row>
    <row r="322" spans="2:18" x14ac:dyDescent="0.25">
      <c r="B322" s="568"/>
      <c r="C322" s="418"/>
      <c r="D322" s="418"/>
      <c r="E322" s="418"/>
      <c r="F322" s="418"/>
      <c r="G322" s="418"/>
      <c r="H322" s="425"/>
      <c r="I322" s="425"/>
      <c r="J322" s="24"/>
      <c r="K322" s="114"/>
      <c r="L322" s="24"/>
      <c r="M322" s="24"/>
      <c r="N322" s="24"/>
      <c r="O322" s="24"/>
      <c r="P322" s="24"/>
      <c r="Q322" s="24"/>
      <c r="R322" s="24"/>
    </row>
    <row r="324" spans="2:18" x14ac:dyDescent="0.25">
      <c r="C324" s="1781" t="s">
        <v>145</v>
      </c>
      <c r="D324" s="1781"/>
      <c r="E324" s="1781"/>
      <c r="F324" s="1781"/>
      <c r="G324" s="1781"/>
    </row>
    <row r="325" spans="2:18" x14ac:dyDescent="0.25">
      <c r="C325" s="412" t="s">
        <v>486</v>
      </c>
    </row>
  </sheetData>
  <mergeCells count="31">
    <mergeCell ref="R10:R12"/>
    <mergeCell ref="R29:R31"/>
    <mergeCell ref="J10:L10"/>
    <mergeCell ref="M10:Q10"/>
    <mergeCell ref="J29:L29"/>
    <mergeCell ref="J136:L136"/>
    <mergeCell ref="M279:N279"/>
    <mergeCell ref="M29:Q29"/>
    <mergeCell ref="M136:Q136"/>
    <mergeCell ref="R279:R281"/>
    <mergeCell ref="R136:R138"/>
    <mergeCell ref="O279:Q279"/>
    <mergeCell ref="J279:L279"/>
    <mergeCell ref="C324:G324"/>
    <mergeCell ref="C29:C30"/>
    <mergeCell ref="G10:I10"/>
    <mergeCell ref="G29:I29"/>
    <mergeCell ref="G279:I279"/>
    <mergeCell ref="C131:G131"/>
    <mergeCell ref="D136:F136"/>
    <mergeCell ref="G136:I136"/>
    <mergeCell ref="D10:F10"/>
    <mergeCell ref="D29:F29"/>
    <mergeCell ref="D279:F279"/>
    <mergeCell ref="B10:B11"/>
    <mergeCell ref="C10:C11"/>
    <mergeCell ref="B29:B30"/>
    <mergeCell ref="C279:C281"/>
    <mergeCell ref="B279:B281"/>
    <mergeCell ref="B136:B137"/>
    <mergeCell ref="C136:C137"/>
  </mergeCells>
  <pageMargins left="1.02" right="0.25" top="1" bottom="1" header="0.25" footer="0.25"/>
  <pageSetup paperSize="9" scale="38" fitToHeight="0" orientation="landscape" r:id="rId1"/>
  <headerFooter alignWithMargins="0">
    <oddHeader>&amp;F</oddHeader>
  </headerFooter>
  <rowBreaks count="2" manualBreakCount="2">
    <brk id="26" max="17" man="1"/>
    <brk id="265" max="17"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B2:X72"/>
  <sheetViews>
    <sheetView showGridLines="0" zoomScale="75" zoomScaleNormal="75" workbookViewId="0">
      <pane xSplit="3" ySplit="9" topLeftCell="D10" activePane="bottomRight" state="frozen"/>
      <selection pane="topRight" activeCell="D1" sqref="D1"/>
      <selection pane="bottomLeft" activeCell="A10" sqref="A10"/>
      <selection pane="bottomRight" activeCell="G24" sqref="G24"/>
    </sheetView>
  </sheetViews>
  <sheetFormatPr defaultColWidth="9.36328125" defaultRowHeight="14" x14ac:dyDescent="0.25"/>
  <cols>
    <col min="1" max="1" width="6.36328125" style="14" customWidth="1"/>
    <col min="2" max="2" width="8.36328125" style="14" customWidth="1"/>
    <col min="3" max="3" width="64" style="14" customWidth="1"/>
    <col min="4" max="7" width="19.36328125" style="14" customWidth="1"/>
    <col min="8" max="8" width="21.6328125" style="14" customWidth="1"/>
    <col min="9" max="10" width="20.6328125" style="14" customWidth="1"/>
    <col min="11" max="11" width="20.6328125" style="311" customWidth="1"/>
    <col min="12" max="20" width="16.6328125" style="14" customWidth="1"/>
    <col min="21" max="16384" width="9.36328125" style="14"/>
  </cols>
  <sheetData>
    <row r="2" spans="2:24" x14ac:dyDescent="0.25">
      <c r="B2" s="1598" t="str">
        <f>Index!B2</f>
        <v xml:space="preserve">      Maharashtra State Power Generation Company Ltd.</v>
      </c>
      <c r="C2" s="1598"/>
      <c r="D2" s="1598"/>
      <c r="E2" s="1598"/>
      <c r="F2" s="1598"/>
      <c r="G2" s="1598"/>
      <c r="H2" s="1598"/>
      <c r="I2" s="1598"/>
      <c r="J2" s="1598"/>
      <c r="K2" s="1598"/>
      <c r="L2" s="1598"/>
      <c r="M2" s="1598"/>
      <c r="N2" s="1598"/>
    </row>
    <row r="3" spans="2:24" ht="15" customHeight="1" x14ac:dyDescent="0.25">
      <c r="B3" s="1598" t="str">
        <f>Index!B3</f>
        <v>MYT Petition Formats for Bhusawal Unit 3</v>
      </c>
      <c r="C3" s="1598"/>
      <c r="D3" s="1598"/>
      <c r="E3" s="1598"/>
      <c r="F3" s="1598"/>
      <c r="G3" s="1598"/>
      <c r="H3" s="1598"/>
      <c r="I3" s="1598"/>
      <c r="J3" s="1598"/>
      <c r="K3" s="1598"/>
      <c r="L3" s="1598"/>
      <c r="M3" s="1598"/>
      <c r="N3" s="1598"/>
    </row>
    <row r="4" spans="2:24" ht="15" x14ac:dyDescent="0.25">
      <c r="B4" s="1787" t="s">
        <v>1117</v>
      </c>
      <c r="C4" s="1787"/>
      <c r="D4" s="1787"/>
      <c r="E4" s="1787"/>
      <c r="F4" s="1787"/>
      <c r="G4" s="1787"/>
      <c r="H4" s="1787"/>
      <c r="I4" s="1787"/>
      <c r="J4" s="1787"/>
      <c r="K4" s="1787"/>
      <c r="L4" s="1787"/>
      <c r="M4" s="1787"/>
      <c r="N4" s="1787"/>
    </row>
    <row r="6" spans="2:24" x14ac:dyDescent="0.25">
      <c r="K6" s="14"/>
      <c r="L6" s="22" t="s">
        <v>10</v>
      </c>
    </row>
    <row r="7" spans="2:24" ht="15" customHeight="1" x14ac:dyDescent="0.25">
      <c r="B7" s="1600" t="s">
        <v>343</v>
      </c>
      <c r="C7" s="1600" t="s">
        <v>38</v>
      </c>
      <c r="D7" s="1740" t="s">
        <v>505</v>
      </c>
      <c r="E7" s="1741"/>
      <c r="F7" s="1742"/>
      <c r="G7" s="1740" t="s">
        <v>506</v>
      </c>
      <c r="H7" s="1741"/>
      <c r="I7" s="1742"/>
      <c r="J7" s="1740" t="s">
        <v>507</v>
      </c>
      <c r="K7" s="1741"/>
      <c r="L7" s="1742"/>
    </row>
    <row r="8" spans="2:24" ht="28" x14ac:dyDescent="0.25">
      <c r="B8" s="1601"/>
      <c r="C8" s="1601"/>
      <c r="D8" s="295" t="s">
        <v>1065</v>
      </c>
      <c r="E8" s="291" t="s">
        <v>80</v>
      </c>
      <c r="F8" s="291" t="s">
        <v>449</v>
      </c>
      <c r="G8" s="295" t="s">
        <v>1065</v>
      </c>
      <c r="H8" s="687" t="s">
        <v>80</v>
      </c>
      <c r="I8" s="687" t="s">
        <v>449</v>
      </c>
      <c r="J8" s="291" t="s">
        <v>1065</v>
      </c>
      <c r="K8" s="312" t="s">
        <v>81</v>
      </c>
      <c r="L8" s="291" t="s">
        <v>450</v>
      </c>
    </row>
    <row r="9" spans="2:24" x14ac:dyDescent="0.25">
      <c r="B9" s="1642"/>
      <c r="C9" s="1642"/>
      <c r="D9" s="291" t="s">
        <v>82</v>
      </c>
      <c r="E9" s="291" t="s">
        <v>83</v>
      </c>
      <c r="F9" s="291" t="s">
        <v>675</v>
      </c>
      <c r="G9" s="687" t="s">
        <v>391</v>
      </c>
      <c r="H9" s="687" t="s">
        <v>409</v>
      </c>
      <c r="I9" s="687" t="s">
        <v>454</v>
      </c>
      <c r="J9" s="291" t="s">
        <v>410</v>
      </c>
      <c r="K9" s="312" t="s">
        <v>411</v>
      </c>
      <c r="L9" s="291" t="s">
        <v>717</v>
      </c>
    </row>
    <row r="10" spans="2:24" x14ac:dyDescent="0.25">
      <c r="B10" s="98">
        <v>1</v>
      </c>
      <c r="C10" s="97" t="s">
        <v>600</v>
      </c>
      <c r="D10" s="315">
        <v>95.735024512780882</v>
      </c>
      <c r="E10" s="304">
        <v>95.735024512780882</v>
      </c>
      <c r="F10" s="302">
        <f>E10-D10</f>
        <v>0</v>
      </c>
      <c r="G10" s="302">
        <f>D14</f>
        <v>95.735024512780882</v>
      </c>
      <c r="H10" s="304">
        <f>E14</f>
        <v>95.75616307439941</v>
      </c>
      <c r="I10" s="302"/>
      <c r="J10" s="302">
        <f>G14</f>
        <v>97.397024512780888</v>
      </c>
      <c r="K10" s="302">
        <f>H14</f>
        <v>95.878541815199412</v>
      </c>
      <c r="L10" s="302">
        <f>K10-J10</f>
        <v>-1.5184826975814758</v>
      </c>
      <c r="V10" s="323"/>
      <c r="W10" s="323"/>
      <c r="X10" s="323"/>
    </row>
    <row r="11" spans="2:24" x14ac:dyDescent="0.25">
      <c r="B11" s="98">
        <f>B10+1</f>
        <v>2</v>
      </c>
      <c r="C11" s="97" t="s">
        <v>546</v>
      </c>
      <c r="D11" s="114"/>
      <c r="E11" s="24"/>
      <c r="F11" s="302">
        <f>E11-D11</f>
        <v>0</v>
      </c>
      <c r="G11" s="302"/>
      <c r="H11" s="1338"/>
      <c r="I11" s="302"/>
      <c r="J11" s="302"/>
      <c r="K11" s="315"/>
      <c r="L11" s="302">
        <f>K11-J11</f>
        <v>0</v>
      </c>
      <c r="V11" s="323"/>
      <c r="W11" s="323"/>
      <c r="X11" s="323"/>
    </row>
    <row r="12" spans="2:24" x14ac:dyDescent="0.25">
      <c r="B12" s="98">
        <f t="shared" ref="B12:B21" si="0">B11+1</f>
        <v>3</v>
      </c>
      <c r="C12" s="97" t="s">
        <v>601</v>
      </c>
      <c r="D12" s="335">
        <f>'F4'!D14*30%</f>
        <v>0</v>
      </c>
      <c r="E12" s="304">
        <f>'F4'!E14*30%</f>
        <v>7.8708902400000003E-2</v>
      </c>
      <c r="F12" s="302">
        <f>E12-D12</f>
        <v>7.8708902400000003E-2</v>
      </c>
      <c r="G12" s="302">
        <f>'F4'!G14*30%</f>
        <v>1.6619999999999999</v>
      </c>
      <c r="H12" s="1338">
        <f>'F4'!H14*30%</f>
        <v>0.12237874079999998</v>
      </c>
      <c r="I12" s="302"/>
      <c r="J12" s="315">
        <f>'F4'!J14*30%</f>
        <v>0</v>
      </c>
      <c r="K12" s="302">
        <f>'F4'!M14*30%</f>
        <v>1.68760584</v>
      </c>
      <c r="L12" s="302">
        <f>K12-J12</f>
        <v>1.68760584</v>
      </c>
      <c r="V12" s="323"/>
      <c r="W12" s="323"/>
      <c r="X12" s="323"/>
    </row>
    <row r="13" spans="2:24" x14ac:dyDescent="0.3">
      <c r="B13" s="245">
        <f t="shared" si="0"/>
        <v>4</v>
      </c>
      <c r="C13" s="29" t="s">
        <v>39</v>
      </c>
      <c r="D13" s="476"/>
      <c r="E13" s="746">
        <f>'F5'!F31*E10/'F5'!D31</f>
        <v>5.7570340781472169E-2</v>
      </c>
      <c r="F13" s="315">
        <f>E13-D13</f>
        <v>5.7570340781472169E-2</v>
      </c>
      <c r="G13" s="315"/>
      <c r="H13" s="1339">
        <f>'F5'!K31*H10/'F5'!I31</f>
        <v>0</v>
      </c>
      <c r="I13" s="315">
        <f>H13-G13</f>
        <v>0</v>
      </c>
      <c r="J13" s="315"/>
      <c r="K13" s="315">
        <f>'F5'!P31*'F7'!K10/'F5'!N31</f>
        <v>0</v>
      </c>
      <c r="L13" s="302">
        <f>K13-J13</f>
        <v>0</v>
      </c>
      <c r="V13" s="323"/>
      <c r="W13" s="323"/>
      <c r="X13" s="323"/>
    </row>
    <row r="14" spans="2:24" x14ac:dyDescent="0.25">
      <c r="B14" s="98">
        <f t="shared" si="0"/>
        <v>5</v>
      </c>
      <c r="C14" s="97" t="s">
        <v>40</v>
      </c>
      <c r="D14" s="315">
        <f>D10+D12-D13</f>
        <v>95.735024512780882</v>
      </c>
      <c r="E14" s="315">
        <f>E10+E12-E13</f>
        <v>95.75616307439941</v>
      </c>
      <c r="F14" s="302">
        <f>E14-D14</f>
        <v>2.1138561618528229E-2</v>
      </c>
      <c r="G14" s="302">
        <f>G10+G12-G13</f>
        <v>97.397024512780888</v>
      </c>
      <c r="H14" s="1338">
        <f>H10+H12-H13</f>
        <v>95.878541815199412</v>
      </c>
      <c r="I14" s="302">
        <f>H14-G14</f>
        <v>-1.5184826975814758</v>
      </c>
      <c r="J14" s="302">
        <f>J10+J12-J13</f>
        <v>97.397024512780888</v>
      </c>
      <c r="K14" s="302">
        <f>K10+K12-K13</f>
        <v>97.566147655199416</v>
      </c>
      <c r="L14" s="302">
        <f>K14-J14</f>
        <v>0.16912314241852755</v>
      </c>
      <c r="V14" s="323"/>
      <c r="W14" s="323"/>
      <c r="X14" s="323"/>
    </row>
    <row r="15" spans="2:24" x14ac:dyDescent="0.25">
      <c r="B15" s="98"/>
      <c r="C15" s="97"/>
      <c r="D15" s="24"/>
      <c r="E15" s="24"/>
      <c r="F15" s="302"/>
      <c r="G15" s="302"/>
      <c r="H15" s="1338"/>
      <c r="I15" s="302"/>
      <c r="J15" s="302"/>
      <c r="K15" s="315"/>
      <c r="L15" s="302"/>
      <c r="V15" s="323"/>
      <c r="W15" s="323"/>
      <c r="X15" s="323"/>
    </row>
    <row r="16" spans="2:24" x14ac:dyDescent="0.25">
      <c r="B16" s="98"/>
      <c r="C16" s="99" t="s">
        <v>405</v>
      </c>
      <c r="D16" s="24"/>
      <c r="E16" s="24"/>
      <c r="F16" s="302"/>
      <c r="G16" s="302"/>
      <c r="H16" s="1338"/>
      <c r="I16" s="302"/>
      <c r="J16" s="302"/>
      <c r="K16" s="315"/>
      <c r="L16" s="302"/>
      <c r="V16" s="323"/>
      <c r="W16" s="323"/>
      <c r="X16" s="323"/>
    </row>
    <row r="17" spans="2:24" x14ac:dyDescent="0.25">
      <c r="B17" s="98">
        <v>6</v>
      </c>
      <c r="C17" s="97" t="s">
        <v>548</v>
      </c>
      <c r="D17" s="325">
        <v>0.14000000000000001</v>
      </c>
      <c r="E17" s="325">
        <v>0.14000000000000001</v>
      </c>
      <c r="F17" s="326">
        <f>E17-D17</f>
        <v>0</v>
      </c>
      <c r="G17" s="325">
        <v>0.14000000000000001</v>
      </c>
      <c r="H17" s="1337">
        <v>0.14000000000000001</v>
      </c>
      <c r="I17" s="779">
        <f>H17-G17</f>
        <v>0</v>
      </c>
      <c r="J17" s="325">
        <v>0.14000000000000001</v>
      </c>
      <c r="K17" s="325">
        <v>0.14000000000000001</v>
      </c>
      <c r="L17" s="326">
        <f>K17-J17</f>
        <v>0</v>
      </c>
      <c r="V17" s="323"/>
      <c r="W17" s="323"/>
      <c r="X17" s="323"/>
    </row>
    <row r="18" spans="2:24" x14ac:dyDescent="0.25">
      <c r="B18" s="98">
        <v>7</v>
      </c>
      <c r="C18" s="97" t="s">
        <v>582</v>
      </c>
      <c r="D18" s="326">
        <f>D17/(1-D23)</f>
        <v>0.14000000000000001</v>
      </c>
      <c r="E18" s="326">
        <f>E17/(1-E23)</f>
        <v>0.14000000000000001</v>
      </c>
      <c r="F18" s="326">
        <f>E18-D18</f>
        <v>0</v>
      </c>
      <c r="G18" s="326">
        <f>G17/(1-G23)</f>
        <v>0.14000000000000001</v>
      </c>
      <c r="H18" s="556">
        <f>H17/(1-H23)</f>
        <v>0.14000000000000001</v>
      </c>
      <c r="I18" s="326">
        <f>H18-G18</f>
        <v>0</v>
      </c>
      <c r="J18" s="326">
        <f>J17/(1-J23)</f>
        <v>0.14000000000000001</v>
      </c>
      <c r="K18" s="326">
        <f>K17/(1-K23)</f>
        <v>0.14000000000000001</v>
      </c>
      <c r="L18" s="326">
        <f>K18-J18</f>
        <v>0</v>
      </c>
      <c r="V18" s="323"/>
      <c r="W18" s="323"/>
      <c r="X18" s="323"/>
    </row>
    <row r="19" spans="2:24" x14ac:dyDescent="0.25">
      <c r="B19" s="98">
        <v>8</v>
      </c>
      <c r="C19" s="97" t="s">
        <v>549</v>
      </c>
      <c r="D19" s="302">
        <f>D10*D18</f>
        <v>13.402903431789325</v>
      </c>
      <c r="E19" s="302">
        <f>E10*E18</f>
        <v>13.402903431789325</v>
      </c>
      <c r="F19" s="302">
        <f>E19-D19</f>
        <v>0</v>
      </c>
      <c r="G19" s="302">
        <f>G10*G18</f>
        <v>13.402903431789325</v>
      </c>
      <c r="H19" s="1338">
        <f>H10*H18</f>
        <v>13.405862830415918</v>
      </c>
      <c r="I19" s="302">
        <f>H19-G19</f>
        <v>2.9593986265936678E-3</v>
      </c>
      <c r="J19" s="302">
        <f>J10*J18</f>
        <v>13.635583431789325</v>
      </c>
      <c r="K19" s="302">
        <f>K10*K18</f>
        <v>13.422995854127919</v>
      </c>
      <c r="L19" s="302">
        <f>K19-J19</f>
        <v>-0.2125875776614059</v>
      </c>
      <c r="V19" s="323"/>
      <c r="W19" s="323"/>
      <c r="X19" s="323"/>
    </row>
    <row r="20" spans="2:24" x14ac:dyDescent="0.25">
      <c r="B20" s="98">
        <f t="shared" si="0"/>
        <v>9</v>
      </c>
      <c r="C20" s="97" t="s">
        <v>550</v>
      </c>
      <c r="D20" s="302">
        <f>(D12-D13)*D18/2</f>
        <v>0</v>
      </c>
      <c r="E20" s="302">
        <f>(E12-E13)*E18/2</f>
        <v>1.4796993132969484E-3</v>
      </c>
      <c r="F20" s="302">
        <f>E20-D20</f>
        <v>1.4796993132969484E-3</v>
      </c>
      <c r="G20" s="302">
        <f>(G12-G13)*G18/2</f>
        <v>0.11634</v>
      </c>
      <c r="H20" s="302">
        <f>(H12-H13)*H18/2</f>
        <v>8.5665118559999989E-3</v>
      </c>
      <c r="I20" s="302">
        <f>H20-G20</f>
        <v>-0.10777348814400001</v>
      </c>
      <c r="J20" s="302">
        <f>(J12-J13)*J18/2</f>
        <v>0</v>
      </c>
      <c r="K20" s="302">
        <f>(K12-K13)*K18/2</f>
        <v>0.11813240880000002</v>
      </c>
      <c r="L20" s="302">
        <f>K20-J20</f>
        <v>0.11813240880000002</v>
      </c>
      <c r="V20" s="323"/>
      <c r="W20" s="323"/>
      <c r="X20" s="323"/>
    </row>
    <row r="21" spans="2:24" x14ac:dyDescent="0.25">
      <c r="B21" s="113">
        <f t="shared" si="0"/>
        <v>10</v>
      </c>
      <c r="C21" s="99" t="s">
        <v>406</v>
      </c>
      <c r="D21" s="322">
        <f>SUM(D19:D20)</f>
        <v>13.402903431789325</v>
      </c>
      <c r="E21" s="322">
        <f>SUM(E19:E20)</f>
        <v>13.404383131102621</v>
      </c>
      <c r="F21" s="358">
        <f>E21-D21</f>
        <v>1.4796993132968339E-3</v>
      </c>
      <c r="G21" s="322">
        <f>SUM(G19:G20)</f>
        <v>13.519243431789324</v>
      </c>
      <c r="H21" s="322">
        <f>SUM(H19:H20)</f>
        <v>13.414429342271918</v>
      </c>
      <c r="I21" s="358">
        <f>H21-G21</f>
        <v>-0.10481408951740612</v>
      </c>
      <c r="J21" s="322">
        <f>SUM(J19:J20)</f>
        <v>13.635583431789325</v>
      </c>
      <c r="K21" s="322">
        <f>SUM(K19:K20)</f>
        <v>13.541128262927918</v>
      </c>
      <c r="L21" s="358">
        <f>K21-J21</f>
        <v>-9.4455168861406591E-2</v>
      </c>
      <c r="V21" s="323"/>
      <c r="W21" s="323"/>
      <c r="X21" s="323"/>
    </row>
    <row r="22" spans="2:24" x14ac:dyDescent="0.25">
      <c r="B22" s="24"/>
      <c r="C22" s="24"/>
      <c r="D22" s="24"/>
      <c r="E22" s="24"/>
      <c r="F22" s="302"/>
      <c r="G22" s="302"/>
      <c r="H22" s="302"/>
      <c r="I22" s="302"/>
      <c r="J22" s="302"/>
      <c r="K22" s="315"/>
      <c r="L22" s="302"/>
      <c r="V22" s="323"/>
      <c r="W22" s="323"/>
      <c r="X22" s="323"/>
    </row>
    <row r="23" spans="2:24" x14ac:dyDescent="0.25">
      <c r="B23" s="98"/>
      <c r="C23" s="99" t="s">
        <v>781</v>
      </c>
      <c r="D23" s="24"/>
      <c r="E23" s="593"/>
      <c r="F23" s="315"/>
      <c r="G23" s="315"/>
      <c r="H23" s="315"/>
      <c r="I23" s="315"/>
      <c r="J23" s="114"/>
      <c r="K23" s="593"/>
      <c r="L23" s="114"/>
    </row>
    <row r="25" spans="2:24" x14ac:dyDescent="0.25">
      <c r="C25" s="14" t="s">
        <v>1161</v>
      </c>
    </row>
    <row r="27" spans="2:24" x14ac:dyDescent="0.25">
      <c r="C27" s="297" t="s">
        <v>718</v>
      </c>
    </row>
    <row r="29" spans="2:24" x14ac:dyDescent="0.25">
      <c r="B29" s="1600" t="s">
        <v>340</v>
      </c>
      <c r="C29" s="1603" t="s">
        <v>38</v>
      </c>
      <c r="D29" s="1788" t="s">
        <v>140</v>
      </c>
      <c r="E29" s="288" t="s">
        <v>505</v>
      </c>
      <c r="F29" s="685" t="s">
        <v>506</v>
      </c>
    </row>
    <row r="30" spans="2:24" ht="28" x14ac:dyDescent="0.25">
      <c r="B30" s="1601"/>
      <c r="C30" s="1603"/>
      <c r="D30" s="1789"/>
      <c r="E30" s="287" t="s">
        <v>80</v>
      </c>
      <c r="F30" s="686" t="s">
        <v>80</v>
      </c>
    </row>
    <row r="31" spans="2:24" x14ac:dyDescent="0.25">
      <c r="B31" s="94">
        <v>1</v>
      </c>
      <c r="C31" s="97" t="s">
        <v>724</v>
      </c>
      <c r="D31" s="98" t="s">
        <v>100</v>
      </c>
      <c r="E31" s="114"/>
      <c r="F31" s="114"/>
    </row>
    <row r="32" spans="2:24" x14ac:dyDescent="0.25">
      <c r="B32" s="98">
        <f>B31+1</f>
        <v>2</v>
      </c>
      <c r="C32" s="97" t="s">
        <v>719</v>
      </c>
      <c r="D32" s="98" t="s">
        <v>100</v>
      </c>
      <c r="E32" s="356">
        <v>0</v>
      </c>
      <c r="F32" s="356">
        <v>0</v>
      </c>
    </row>
    <row r="33" spans="2:14" x14ac:dyDescent="0.25">
      <c r="B33" s="98"/>
      <c r="C33" s="97"/>
      <c r="D33" s="97"/>
      <c r="E33" s="114"/>
      <c r="F33" s="114"/>
    </row>
    <row r="34" spans="2:14" x14ac:dyDescent="0.3">
      <c r="B34" s="98">
        <v>3</v>
      </c>
      <c r="C34" s="29" t="s">
        <v>725</v>
      </c>
      <c r="D34" s="298" t="s">
        <v>720</v>
      </c>
      <c r="E34" s="114"/>
      <c r="F34" s="114"/>
    </row>
    <row r="35" spans="2:14" x14ac:dyDescent="0.25">
      <c r="B35" s="98">
        <f>B34+1</f>
        <v>4</v>
      </c>
      <c r="C35" s="97" t="s">
        <v>721</v>
      </c>
      <c r="D35" s="98" t="s">
        <v>100</v>
      </c>
      <c r="E35" s="356">
        <v>0</v>
      </c>
      <c r="F35" s="356">
        <v>0</v>
      </c>
    </row>
    <row r="36" spans="2:14" x14ac:dyDescent="0.25">
      <c r="B36" s="98"/>
      <c r="C36" s="97"/>
      <c r="D36" s="97"/>
      <c r="E36" s="114"/>
      <c r="F36" s="114"/>
    </row>
    <row r="37" spans="2:14" x14ac:dyDescent="0.25">
      <c r="B37" s="98">
        <v>5</v>
      </c>
      <c r="C37" s="97" t="s">
        <v>728</v>
      </c>
      <c r="D37" s="98" t="s">
        <v>100</v>
      </c>
      <c r="E37" s="553">
        <f>E32+E35</f>
        <v>0</v>
      </c>
      <c r="F37" s="553">
        <f>F32+F35</f>
        <v>0</v>
      </c>
    </row>
    <row r="38" spans="2:14" x14ac:dyDescent="0.25">
      <c r="B38" s="98"/>
      <c r="C38" s="97"/>
      <c r="D38" s="97"/>
      <c r="E38" s="114"/>
      <c r="F38" s="114"/>
    </row>
    <row r="39" spans="2:14" x14ac:dyDescent="0.25">
      <c r="B39" s="98"/>
      <c r="C39" s="99" t="s">
        <v>723</v>
      </c>
      <c r="D39" s="97"/>
      <c r="E39" s="114"/>
      <c r="F39" s="114"/>
    </row>
    <row r="40" spans="2:14" x14ac:dyDescent="0.25">
      <c r="B40" s="98">
        <v>6</v>
      </c>
      <c r="C40" s="97" t="s">
        <v>602</v>
      </c>
      <c r="D40" s="98" t="s">
        <v>441</v>
      </c>
      <c r="E40" s="335">
        <f>E10*E37</f>
        <v>0</v>
      </c>
      <c r="F40" s="335">
        <f>H10*F37</f>
        <v>0</v>
      </c>
    </row>
    <row r="41" spans="2:14" x14ac:dyDescent="0.25">
      <c r="B41" s="98">
        <v>7</v>
      </c>
      <c r="C41" s="97" t="s">
        <v>603</v>
      </c>
      <c r="D41" s="98" t="s">
        <v>441</v>
      </c>
      <c r="E41" s="335">
        <f>(E12-E13)*E37/2</f>
        <v>0</v>
      </c>
      <c r="F41" s="713">
        <f>(H12-H13)*F37/2</f>
        <v>0</v>
      </c>
    </row>
    <row r="42" spans="2:14" x14ac:dyDescent="0.25">
      <c r="B42" s="113">
        <v>8</v>
      </c>
      <c r="C42" s="99" t="s">
        <v>722</v>
      </c>
      <c r="D42" s="99"/>
      <c r="E42" s="474">
        <f>SUM(E40:E41)</f>
        <v>0</v>
      </c>
      <c r="F42" s="474">
        <f>SUM(F40:F41)</f>
        <v>0</v>
      </c>
    </row>
    <row r="43" spans="2:14" x14ac:dyDescent="0.25">
      <c r="E43" s="311"/>
      <c r="F43" s="311"/>
    </row>
    <row r="44" spans="2:14" x14ac:dyDescent="0.25">
      <c r="C44" s="1785" t="s">
        <v>726</v>
      </c>
      <c r="D44" s="1785"/>
      <c r="E44" s="1785"/>
      <c r="F44" s="1785"/>
      <c r="G44" s="1785"/>
      <c r="H44" s="1785"/>
      <c r="I44" s="1785"/>
      <c r="J44" s="1785"/>
      <c r="K44" s="1785"/>
      <c r="L44" s="1785"/>
      <c r="M44" s="1785"/>
      <c r="N44" s="1785"/>
    </row>
    <row r="45" spans="2:14" x14ac:dyDescent="0.25">
      <c r="C45" s="14" t="s">
        <v>727</v>
      </c>
    </row>
    <row r="51" spans="2:9" ht="15" x14ac:dyDescent="0.25">
      <c r="B51" s="1022" t="s">
        <v>343</v>
      </c>
      <c r="C51" s="1022" t="s">
        <v>38</v>
      </c>
      <c r="D51" s="1632" t="s">
        <v>1066</v>
      </c>
      <c r="E51" s="1633"/>
      <c r="F51" s="1633"/>
      <c r="G51" s="1633"/>
      <c r="H51" s="1634"/>
      <c r="I51" s="1027" t="s">
        <v>28</v>
      </c>
    </row>
    <row r="52" spans="2:9" ht="15" x14ac:dyDescent="0.25">
      <c r="B52" s="1023"/>
      <c r="C52" s="1023"/>
      <c r="D52" s="1020" t="s">
        <v>1067</v>
      </c>
      <c r="E52" s="1020" t="s">
        <v>1068</v>
      </c>
      <c r="F52" s="1020" t="s">
        <v>1069</v>
      </c>
      <c r="G52" s="1020" t="s">
        <v>1070</v>
      </c>
      <c r="H52" s="1020" t="s">
        <v>1071</v>
      </c>
      <c r="I52" s="1028"/>
    </row>
    <row r="53" spans="2:9" x14ac:dyDescent="0.25">
      <c r="B53" s="1025"/>
      <c r="C53" s="1025"/>
      <c r="D53" s="1019" t="s">
        <v>21</v>
      </c>
      <c r="E53" s="1019" t="s">
        <v>21</v>
      </c>
      <c r="F53" s="1019" t="s">
        <v>21</v>
      </c>
      <c r="G53" s="1019" t="s">
        <v>21</v>
      </c>
      <c r="H53" s="1019" t="s">
        <v>21</v>
      </c>
      <c r="I53" s="1029"/>
    </row>
    <row r="54" spans="2:9" x14ac:dyDescent="0.25">
      <c r="B54" s="98">
        <v>1</v>
      </c>
      <c r="C54" s="97" t="s">
        <v>600</v>
      </c>
      <c r="D54" s="302">
        <f>K14</f>
        <v>97.566147655199416</v>
      </c>
      <c r="E54" s="302">
        <f>D58</f>
        <v>97.566147655199416</v>
      </c>
      <c r="F54" s="302">
        <f t="shared" ref="F54:H54" si="1">E58</f>
        <v>127.41614765519941</v>
      </c>
      <c r="G54" s="302">
        <f t="shared" si="1"/>
        <v>127.41614765519941</v>
      </c>
      <c r="H54" s="302">
        <f t="shared" si="1"/>
        <v>127.41614765519941</v>
      </c>
      <c r="I54" s="302"/>
    </row>
    <row r="55" spans="2:9" x14ac:dyDescent="0.25">
      <c r="B55" s="98">
        <f>B54+1</f>
        <v>2</v>
      </c>
      <c r="C55" s="97" t="s">
        <v>546</v>
      </c>
      <c r="D55" s="302"/>
      <c r="E55" s="302"/>
      <c r="F55" s="302"/>
      <c r="G55" s="302"/>
      <c r="H55" s="302"/>
      <c r="I55" s="302"/>
    </row>
    <row r="56" spans="2:9" x14ac:dyDescent="0.25">
      <c r="B56" s="98">
        <f t="shared" ref="B56:B65" si="2">B55+1</f>
        <v>3</v>
      </c>
      <c r="C56" s="97" t="s">
        <v>601</v>
      </c>
      <c r="D56" s="302">
        <f>'F4'!O14*30%</f>
        <v>0</v>
      </c>
      <c r="E56" s="302">
        <f>'F4'!P14*30%</f>
        <v>29.849999999999998</v>
      </c>
      <c r="F56" s="302">
        <f>'F4'!Q14*30%</f>
        <v>0</v>
      </c>
      <c r="G56" s="302">
        <f>'F4'!R14*30%</f>
        <v>0</v>
      </c>
      <c r="H56" s="302">
        <f>'F4'!S14*30%</f>
        <v>0</v>
      </c>
      <c r="I56" s="302"/>
    </row>
    <row r="57" spans="2:9" x14ac:dyDescent="0.3">
      <c r="B57" s="245">
        <f t="shared" si="2"/>
        <v>4</v>
      </c>
      <c r="C57" s="29" t="s">
        <v>39</v>
      </c>
      <c r="D57" s="302">
        <f>'F5'!U31*'F7'!D54/'F5'!S31</f>
        <v>0</v>
      </c>
      <c r="E57" s="302">
        <f>'F5'!F57*'F7'!E54/'F5'!D57</f>
        <v>0</v>
      </c>
      <c r="F57" s="302">
        <f>'F5'!K57*'F7'!F54/'F5'!I57</f>
        <v>0</v>
      </c>
      <c r="G57" s="302">
        <f>'F5'!P57*'F7'!G54/'F5'!N57</f>
        <v>0</v>
      </c>
      <c r="H57" s="302">
        <f>'F5'!U57*'F7'!H54/'F5'!S57</f>
        <v>0</v>
      </c>
      <c r="I57" s="302"/>
    </row>
    <row r="58" spans="2:9" x14ac:dyDescent="0.25">
      <c r="B58" s="98">
        <f t="shared" si="2"/>
        <v>5</v>
      </c>
      <c r="C58" s="97" t="s">
        <v>40</v>
      </c>
      <c r="D58" s="302">
        <f>D54+D56-D57</f>
        <v>97.566147655199416</v>
      </c>
      <c r="E58" s="302">
        <f>E54+E56-E57</f>
        <v>127.41614765519941</v>
      </c>
      <c r="F58" s="302">
        <f t="shared" ref="F58:H58" si="3">F54+F56-F57</f>
        <v>127.41614765519941</v>
      </c>
      <c r="G58" s="302">
        <f t="shared" si="3"/>
        <v>127.41614765519941</v>
      </c>
      <c r="H58" s="302">
        <f t="shared" si="3"/>
        <v>127.41614765519941</v>
      </c>
      <c r="I58" s="302"/>
    </row>
    <row r="59" spans="2:9" x14ac:dyDescent="0.25">
      <c r="B59" s="98"/>
      <c r="C59" s="97"/>
      <c r="D59" s="302"/>
      <c r="E59" s="302"/>
      <c r="F59" s="302"/>
      <c r="G59" s="302"/>
      <c r="H59" s="302"/>
      <c r="I59" s="302"/>
    </row>
    <row r="60" spans="2:9" x14ac:dyDescent="0.25">
      <c r="B60" s="98"/>
      <c r="C60" s="99" t="s">
        <v>405</v>
      </c>
      <c r="D60" s="302"/>
      <c r="E60" s="302"/>
      <c r="F60" s="302"/>
      <c r="G60" s="302"/>
      <c r="H60" s="302"/>
      <c r="I60" s="302"/>
    </row>
    <row r="61" spans="2:9" x14ac:dyDescent="0.25">
      <c r="B61" s="98">
        <v>6</v>
      </c>
      <c r="C61" s="97" t="s">
        <v>548</v>
      </c>
      <c r="D61" s="325">
        <v>0.14000000000000001</v>
      </c>
      <c r="E61" s="325">
        <v>0.14000000000000001</v>
      </c>
      <c r="F61" s="325">
        <v>0.14000000000000001</v>
      </c>
      <c r="G61" s="325">
        <v>0.14000000000000001</v>
      </c>
      <c r="H61" s="325">
        <v>0.14000000000000001</v>
      </c>
      <c r="I61" s="302"/>
    </row>
    <row r="62" spans="2:9" x14ac:dyDescent="0.25">
      <c r="B62" s="98">
        <v>7</v>
      </c>
      <c r="C62" s="97" t="s">
        <v>582</v>
      </c>
      <c r="D62" s="326">
        <v>0.15500000000000003</v>
      </c>
      <c r="E62" s="326">
        <v>0.15500000000000003</v>
      </c>
      <c r="F62" s="326">
        <v>0.15500000000000003</v>
      </c>
      <c r="G62" s="326">
        <v>0.15500000000000003</v>
      </c>
      <c r="H62" s="326">
        <v>0.15500000000000003</v>
      </c>
      <c r="I62" s="302"/>
    </row>
    <row r="63" spans="2:9" x14ac:dyDescent="0.25">
      <c r="B63" s="98">
        <v>8</v>
      </c>
      <c r="C63" s="97" t="s">
        <v>549</v>
      </c>
      <c r="D63" s="302">
        <f>D54*D62</f>
        <v>15.122752886555912</v>
      </c>
      <c r="E63" s="302">
        <f>E54*E62</f>
        <v>15.122752886555912</v>
      </c>
      <c r="F63" s="302">
        <f t="shared" ref="F63:H63" si="4">F54*F62</f>
        <v>19.749502886555913</v>
      </c>
      <c r="G63" s="302">
        <f t="shared" si="4"/>
        <v>19.749502886555913</v>
      </c>
      <c r="H63" s="302">
        <f t="shared" si="4"/>
        <v>19.749502886555913</v>
      </c>
      <c r="I63" s="302"/>
    </row>
    <row r="64" spans="2:9" x14ac:dyDescent="0.25">
      <c r="B64" s="98">
        <f t="shared" si="2"/>
        <v>9</v>
      </c>
      <c r="C64" s="97" t="s">
        <v>550</v>
      </c>
      <c r="D64" s="302">
        <f>D56*D62/2</f>
        <v>0</v>
      </c>
      <c r="E64" s="302">
        <f>E56*E62/2</f>
        <v>2.3133750000000002</v>
      </c>
      <c r="F64" s="302">
        <f t="shared" ref="F64:H64" si="5">F56*F62/2</f>
        <v>0</v>
      </c>
      <c r="G64" s="302">
        <f t="shared" si="5"/>
        <v>0</v>
      </c>
      <c r="H64" s="302">
        <f t="shared" si="5"/>
        <v>0</v>
      </c>
      <c r="I64" s="302"/>
    </row>
    <row r="65" spans="2:14" x14ac:dyDescent="0.25">
      <c r="B65" s="113">
        <f t="shared" si="2"/>
        <v>10</v>
      </c>
      <c r="C65" s="99" t="s">
        <v>406</v>
      </c>
      <c r="D65" s="302">
        <f>SUM(D63:D64)</f>
        <v>15.122752886555912</v>
      </c>
      <c r="E65" s="302">
        <f>SUM(E63:E64)</f>
        <v>17.436127886555912</v>
      </c>
      <c r="F65" s="302">
        <f t="shared" ref="F65:H65" si="6">SUM(F63:F64)</f>
        <v>19.749502886555913</v>
      </c>
      <c r="G65" s="302">
        <f t="shared" si="6"/>
        <v>19.749502886555913</v>
      </c>
      <c r="H65" s="302">
        <f t="shared" si="6"/>
        <v>19.749502886555913</v>
      </c>
      <c r="I65" s="302"/>
    </row>
    <row r="70" spans="2:14" x14ac:dyDescent="0.25">
      <c r="B70" s="1785" t="s">
        <v>1162</v>
      </c>
      <c r="C70" s="1785"/>
      <c r="D70" s="1785"/>
      <c r="E70" s="1785"/>
      <c r="F70" s="1785"/>
      <c r="G70" s="1785"/>
      <c r="H70" s="1785"/>
      <c r="I70" s="1785"/>
      <c r="J70" s="1785"/>
      <c r="K70" s="1785"/>
      <c r="L70" s="1785"/>
    </row>
    <row r="71" spans="2:14" x14ac:dyDescent="0.25">
      <c r="B71" s="1786" t="s">
        <v>1163</v>
      </c>
      <c r="C71" s="1786"/>
      <c r="D71" s="1786"/>
      <c r="E71" s="1786"/>
      <c r="F71" s="1786"/>
      <c r="G71" s="1786"/>
      <c r="H71" s="1786"/>
      <c r="I71" s="1786"/>
      <c r="J71" s="1786"/>
      <c r="K71" s="1786"/>
      <c r="L71" s="1786"/>
      <c r="M71" s="1786"/>
      <c r="N71" s="1786"/>
    </row>
    <row r="72" spans="2:14" x14ac:dyDescent="0.25">
      <c r="B72" s="1786" t="s">
        <v>1164</v>
      </c>
      <c r="C72" s="1786"/>
      <c r="D72" s="1786"/>
      <c r="E72" s="1786"/>
      <c r="F72" s="1786"/>
      <c r="G72" s="1786"/>
      <c r="H72" s="1786"/>
      <c r="I72" s="1786"/>
      <c r="J72" s="1786"/>
      <c r="K72" s="1786"/>
      <c r="L72" s="1786"/>
      <c r="M72" s="1786"/>
      <c r="N72" s="1786"/>
    </row>
  </sheetData>
  <mergeCells count="16">
    <mergeCell ref="B2:N2"/>
    <mergeCell ref="C44:N44"/>
    <mergeCell ref="B4:N4"/>
    <mergeCell ref="G7:I7"/>
    <mergeCell ref="B29:B30"/>
    <mergeCell ref="C29:C30"/>
    <mergeCell ref="D29:D30"/>
    <mergeCell ref="B7:B9"/>
    <mergeCell ref="C7:C9"/>
    <mergeCell ref="D7:F7"/>
    <mergeCell ref="B70:L70"/>
    <mergeCell ref="B71:N71"/>
    <mergeCell ref="B72:N72"/>
    <mergeCell ref="J7:L7"/>
    <mergeCell ref="B3:N3"/>
    <mergeCell ref="D51:H51"/>
  </mergeCells>
  <pageMargins left="1.02" right="0.25" top="1" bottom="1" header="0.25" footer="0.25"/>
  <pageSetup paperSize="9" scale="37" orientation="landscape" r:id="rId1"/>
  <headerFooter alignWithMargins="0">
    <oddHeader>&amp;F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Q66"/>
  <sheetViews>
    <sheetView showGridLines="0" view="pageLayout" topLeftCell="A30" zoomScale="73" zoomScaleNormal="75" zoomScalePageLayoutView="73" workbookViewId="0">
      <selection activeCell="C48" sqref="C48"/>
    </sheetView>
  </sheetViews>
  <sheetFormatPr defaultColWidth="9.36328125" defaultRowHeight="14" x14ac:dyDescent="0.3"/>
  <cols>
    <col min="1" max="1" width="4.36328125" style="5" customWidth="1"/>
    <col min="2" max="2" width="30.453125" style="5" customWidth="1"/>
    <col min="3" max="14" width="10.6328125" style="5" customWidth="1"/>
    <col min="15" max="15" width="12.6328125" style="5" customWidth="1"/>
    <col min="16" max="16384" width="9.36328125" style="5"/>
  </cols>
  <sheetData>
    <row r="1" spans="2:15" x14ac:dyDescent="0.3">
      <c r="B1" s="66"/>
    </row>
    <row r="2" spans="2:15" x14ac:dyDescent="0.3">
      <c r="B2" s="1598" t="str">
        <f>Index!B2</f>
        <v xml:space="preserve">      Maharashtra State Power Generation Company Ltd.</v>
      </c>
      <c r="C2" s="1649"/>
      <c r="D2" s="1649"/>
      <c r="E2" s="1649"/>
      <c r="F2" s="1649"/>
      <c r="G2" s="1649"/>
      <c r="H2" s="1649"/>
      <c r="I2" s="1649"/>
      <c r="J2" s="1649"/>
      <c r="K2" s="1649"/>
      <c r="L2" s="1649"/>
      <c r="M2" s="1649"/>
      <c r="N2" s="1649"/>
      <c r="O2" s="1649"/>
    </row>
    <row r="3" spans="2:15" x14ac:dyDescent="0.3">
      <c r="B3" s="1598" t="str">
        <f>Index!B3</f>
        <v>MYT Petition Formats for Bhusawal Unit 3</v>
      </c>
      <c r="C3" s="1649"/>
      <c r="D3" s="1649"/>
      <c r="E3" s="1649"/>
      <c r="F3" s="1649"/>
      <c r="G3" s="1649"/>
      <c r="H3" s="1649"/>
      <c r="I3" s="1649"/>
      <c r="J3" s="1649"/>
      <c r="K3" s="1649"/>
      <c r="L3" s="1649"/>
      <c r="M3" s="1649"/>
      <c r="N3" s="1649"/>
      <c r="O3" s="1649"/>
    </row>
    <row r="4" spans="2:15" x14ac:dyDescent="0.3">
      <c r="B4" s="1668" t="s">
        <v>276</v>
      </c>
      <c r="C4" s="1790"/>
      <c r="D4" s="1790"/>
      <c r="E4" s="1790"/>
      <c r="F4" s="1790"/>
      <c r="G4" s="1790"/>
      <c r="H4" s="1790"/>
      <c r="I4" s="1790"/>
      <c r="J4" s="1790"/>
      <c r="K4" s="1790"/>
      <c r="L4" s="1790"/>
      <c r="M4" s="1790"/>
      <c r="N4" s="1790"/>
      <c r="O4" s="1790"/>
    </row>
    <row r="5" spans="2:15" x14ac:dyDescent="0.3">
      <c r="B5" s="17"/>
      <c r="C5" s="19"/>
      <c r="D5" s="19"/>
      <c r="E5" s="19"/>
      <c r="F5" s="19"/>
      <c r="G5" s="19"/>
      <c r="H5" s="19"/>
      <c r="I5" s="67"/>
    </row>
    <row r="6" spans="2:15" x14ac:dyDescent="0.3">
      <c r="B6" s="48" t="s">
        <v>729</v>
      </c>
      <c r="C6" s="19"/>
      <c r="D6" s="19"/>
      <c r="E6" s="19"/>
      <c r="F6" s="19"/>
      <c r="G6" s="19"/>
      <c r="H6" s="19"/>
      <c r="I6" s="67"/>
    </row>
    <row r="7" spans="2:15" x14ac:dyDescent="0.3">
      <c r="B7" s="48" t="s">
        <v>29</v>
      </c>
      <c r="C7" s="58"/>
      <c r="D7" s="58"/>
      <c r="O7" s="58" t="s">
        <v>277</v>
      </c>
    </row>
    <row r="8" spans="2:15" x14ac:dyDescent="0.3">
      <c r="B8" s="100" t="s">
        <v>278</v>
      </c>
      <c r="C8" s="227" t="s">
        <v>279</v>
      </c>
      <c r="D8" s="227" t="s">
        <v>280</v>
      </c>
      <c r="E8" s="101" t="s">
        <v>281</v>
      </c>
      <c r="F8" s="101" t="s">
        <v>282</v>
      </c>
      <c r="G8" s="101" t="s">
        <v>283</v>
      </c>
      <c r="H8" s="101" t="s">
        <v>284</v>
      </c>
      <c r="I8" s="101" t="s">
        <v>285</v>
      </c>
      <c r="J8" s="101" t="s">
        <v>286</v>
      </c>
      <c r="K8" s="101" t="s">
        <v>287</v>
      </c>
      <c r="L8" s="101" t="s">
        <v>288</v>
      </c>
      <c r="M8" s="101" t="s">
        <v>289</v>
      </c>
      <c r="N8" s="101" t="s">
        <v>290</v>
      </c>
      <c r="O8" s="101" t="s">
        <v>271</v>
      </c>
    </row>
    <row r="9" spans="2:15" x14ac:dyDescent="0.3">
      <c r="B9" s="142" t="s">
        <v>782</v>
      </c>
      <c r="C9" s="313">
        <f>'F9.1'!E16</f>
        <v>67.061897000000002</v>
      </c>
      <c r="D9" s="313">
        <f>'F9.1'!F16</f>
        <v>70.185860000000005</v>
      </c>
      <c r="E9" s="313">
        <f>'F9.1'!G16</f>
        <v>83.139387999999997</v>
      </c>
      <c r="F9" s="313">
        <f>'F9.1'!H16</f>
        <v>39.211682000000003</v>
      </c>
      <c r="G9" s="313">
        <f>'F9.1'!I16</f>
        <v>19.380879</v>
      </c>
      <c r="H9" s="313">
        <f>'F9.1'!J16</f>
        <v>55.600782000000002</v>
      </c>
      <c r="I9" s="313">
        <f>'F9.1'!K16</f>
        <v>29.823609000000001</v>
      </c>
      <c r="J9" s="313">
        <f>'F9.1'!L16</f>
        <v>0</v>
      </c>
      <c r="K9" s="313">
        <f>'F9.1'!M16</f>
        <v>29.679041000000002</v>
      </c>
      <c r="L9" s="313">
        <f>'F9.1'!N16</f>
        <v>67.437341000000004</v>
      </c>
      <c r="M9" s="313">
        <f>'F9.1'!O16</f>
        <v>87.242019999999997</v>
      </c>
      <c r="N9" s="313">
        <f>'F9.1'!P16</f>
        <v>91.531834000000003</v>
      </c>
      <c r="O9" s="313">
        <f>SUM(C9:N9)</f>
        <v>640.29433299999994</v>
      </c>
    </row>
    <row r="10" spans="2:15" x14ac:dyDescent="0.3">
      <c r="B10" s="102"/>
      <c r="C10" s="313"/>
      <c r="D10" s="313"/>
      <c r="E10" s="313"/>
      <c r="F10" s="313"/>
      <c r="G10" s="313"/>
      <c r="H10" s="313"/>
      <c r="I10" s="313"/>
      <c r="J10" s="313"/>
      <c r="K10" s="313"/>
      <c r="L10" s="313"/>
      <c r="M10" s="313"/>
      <c r="N10" s="313"/>
      <c r="O10" s="313">
        <f>SUM(C10:N10)</f>
        <v>0</v>
      </c>
    </row>
    <row r="11" spans="2:15" x14ac:dyDescent="0.3">
      <c r="B11" s="68" t="s">
        <v>271</v>
      </c>
      <c r="C11" s="343">
        <f>SUM(C9:C10)</f>
        <v>67.061897000000002</v>
      </c>
      <c r="D11" s="343">
        <f t="shared" ref="D11:O11" si="0">SUM(D9:D10)</f>
        <v>70.185860000000005</v>
      </c>
      <c r="E11" s="343">
        <f t="shared" si="0"/>
        <v>83.139387999999997</v>
      </c>
      <c r="F11" s="343">
        <f t="shared" si="0"/>
        <v>39.211682000000003</v>
      </c>
      <c r="G11" s="343">
        <f t="shared" si="0"/>
        <v>19.380879</v>
      </c>
      <c r="H11" s="343">
        <f t="shared" si="0"/>
        <v>55.600782000000002</v>
      </c>
      <c r="I11" s="343">
        <f t="shared" si="0"/>
        <v>29.823609000000001</v>
      </c>
      <c r="J11" s="343">
        <f t="shared" si="0"/>
        <v>0</v>
      </c>
      <c r="K11" s="343">
        <f t="shared" si="0"/>
        <v>29.679041000000002</v>
      </c>
      <c r="L11" s="343">
        <f t="shared" si="0"/>
        <v>67.437341000000004</v>
      </c>
      <c r="M11" s="343">
        <f t="shared" si="0"/>
        <v>87.242019999999997</v>
      </c>
      <c r="N11" s="343">
        <f t="shared" si="0"/>
        <v>91.531834000000003</v>
      </c>
      <c r="O11" s="343">
        <f t="shared" si="0"/>
        <v>640.29433299999994</v>
      </c>
    </row>
    <row r="12" spans="2:15" x14ac:dyDescent="0.3">
      <c r="B12" s="221"/>
      <c r="E12" s="229"/>
      <c r="F12" s="230"/>
      <c r="G12" s="229"/>
      <c r="H12" s="229"/>
    </row>
    <row r="13" spans="2:15" x14ac:dyDescent="0.3">
      <c r="B13" s="48" t="s">
        <v>1076</v>
      </c>
      <c r="C13" s="19"/>
      <c r="D13" s="19"/>
      <c r="E13" s="19"/>
      <c r="F13" s="19"/>
      <c r="G13" s="19"/>
      <c r="H13" s="19"/>
      <c r="I13" s="67"/>
    </row>
    <row r="14" spans="2:15" x14ac:dyDescent="0.3">
      <c r="B14" s="48" t="s">
        <v>29</v>
      </c>
      <c r="C14" s="58"/>
      <c r="D14" s="58"/>
      <c r="O14" s="58" t="s">
        <v>277</v>
      </c>
    </row>
    <row r="15" spans="2:15" s="6" customFormat="1" ht="15" customHeight="1" x14ac:dyDescent="0.3">
      <c r="B15" s="100" t="s">
        <v>278</v>
      </c>
      <c r="C15" s="81" t="s">
        <v>279</v>
      </c>
      <c r="D15" s="81" t="s">
        <v>280</v>
      </c>
      <c r="E15" s="101" t="s">
        <v>281</v>
      </c>
      <c r="F15" s="101" t="s">
        <v>282</v>
      </c>
      <c r="G15" s="101" t="s">
        <v>283</v>
      </c>
      <c r="H15" s="101" t="s">
        <v>284</v>
      </c>
      <c r="I15" s="101" t="s">
        <v>285</v>
      </c>
      <c r="J15" s="101" t="s">
        <v>286</v>
      </c>
      <c r="K15" s="101" t="s">
        <v>287</v>
      </c>
      <c r="L15" s="101" t="s">
        <v>288</v>
      </c>
      <c r="M15" s="101" t="s">
        <v>289</v>
      </c>
      <c r="N15" s="101" t="s">
        <v>290</v>
      </c>
      <c r="O15" s="101" t="s">
        <v>271</v>
      </c>
    </row>
    <row r="16" spans="2:15" s="6" customFormat="1" x14ac:dyDescent="0.3">
      <c r="B16" s="142" t="s">
        <v>782</v>
      </c>
      <c r="C16" s="313">
        <f>'F9.1'!E42</f>
        <v>97.036665999999997</v>
      </c>
      <c r="D16" s="313">
        <f>'F9.1'!F42</f>
        <v>95.564858999999998</v>
      </c>
      <c r="E16" s="313">
        <f>'F9.1'!G42</f>
        <v>67.831704999999999</v>
      </c>
      <c r="F16" s="313">
        <f>'F9.1'!H42</f>
        <v>77.160246000000001</v>
      </c>
      <c r="G16" s="313">
        <f>'F9.1'!I42</f>
        <v>83.373498999999995</v>
      </c>
      <c r="H16" s="313">
        <f>'F9.1'!J42</f>
        <v>70.032414000000003</v>
      </c>
      <c r="I16" s="313">
        <f>'F9.1'!K42</f>
        <v>74.567008999999999</v>
      </c>
      <c r="J16" s="313">
        <f>'F9.1'!L42</f>
        <v>28.135615000000001</v>
      </c>
      <c r="K16" s="313">
        <f>'F9.1'!M42</f>
        <v>81.240813000000003</v>
      </c>
      <c r="L16" s="313">
        <f>'F9.1'!N42</f>
        <v>45.489671999999999</v>
      </c>
      <c r="M16" s="313">
        <f>'F9.1'!O42</f>
        <v>87.242233999999996</v>
      </c>
      <c r="N16" s="313">
        <f>'F9.1'!P42</f>
        <v>92.538529999999994</v>
      </c>
      <c r="O16" s="313">
        <f>SUM(C16:N16)</f>
        <v>900.21326200000021</v>
      </c>
    </row>
    <row r="17" spans="1:17" s="6" customFormat="1" x14ac:dyDescent="0.3">
      <c r="B17" s="102"/>
      <c r="C17" s="313"/>
      <c r="D17" s="313"/>
      <c r="E17" s="313"/>
      <c r="F17" s="313"/>
      <c r="G17" s="313"/>
      <c r="H17" s="313"/>
      <c r="I17" s="313"/>
      <c r="J17" s="313"/>
      <c r="K17" s="313"/>
      <c r="L17" s="313"/>
      <c r="M17" s="313"/>
      <c r="N17" s="313"/>
      <c r="O17" s="313">
        <f>SUM(C17:N17)</f>
        <v>0</v>
      </c>
    </row>
    <row r="18" spans="1:17" s="1" customFormat="1" x14ac:dyDescent="0.3">
      <c r="B18" s="68" t="s">
        <v>271</v>
      </c>
      <c r="C18" s="343">
        <f t="shared" ref="C18:O18" si="1">SUM(C16:C17)</f>
        <v>97.036665999999997</v>
      </c>
      <c r="D18" s="343">
        <f t="shared" si="1"/>
        <v>95.564858999999998</v>
      </c>
      <c r="E18" s="343">
        <f t="shared" si="1"/>
        <v>67.831704999999999</v>
      </c>
      <c r="F18" s="343">
        <f t="shared" si="1"/>
        <v>77.160246000000001</v>
      </c>
      <c r="G18" s="343">
        <f t="shared" si="1"/>
        <v>83.373498999999995</v>
      </c>
      <c r="H18" s="343">
        <f t="shared" si="1"/>
        <v>70.032414000000003</v>
      </c>
      <c r="I18" s="343">
        <f t="shared" si="1"/>
        <v>74.567008999999999</v>
      </c>
      <c r="J18" s="343">
        <f t="shared" si="1"/>
        <v>28.135615000000001</v>
      </c>
      <c r="K18" s="343">
        <f t="shared" si="1"/>
        <v>81.240813000000003</v>
      </c>
      <c r="L18" s="343">
        <f t="shared" si="1"/>
        <v>45.489671999999999</v>
      </c>
      <c r="M18" s="343">
        <f t="shared" si="1"/>
        <v>87.242233999999996</v>
      </c>
      <c r="N18" s="343">
        <f t="shared" si="1"/>
        <v>92.538529999999994</v>
      </c>
      <c r="O18" s="343">
        <f t="shared" si="1"/>
        <v>900.21326200000021</v>
      </c>
    </row>
    <row r="19" spans="1:17" s="1" customFormat="1" ht="16" x14ac:dyDescent="0.3">
      <c r="B19" s="48"/>
      <c r="C19" s="19"/>
      <c r="D19" s="19"/>
      <c r="E19" s="19"/>
      <c r="F19" s="19"/>
      <c r="G19" s="19"/>
      <c r="H19" s="19"/>
      <c r="I19" s="43"/>
      <c r="J19" s="64"/>
    </row>
    <row r="20" spans="1:17" s="1" customFormat="1" ht="16" x14ac:dyDescent="0.3">
      <c r="B20" s="48" t="s">
        <v>1077</v>
      </c>
      <c r="C20" s="19"/>
      <c r="D20" s="19"/>
      <c r="E20" s="19"/>
      <c r="F20" s="19"/>
      <c r="G20" s="19"/>
      <c r="H20" s="19"/>
      <c r="I20" s="19"/>
      <c r="J20" s="19"/>
      <c r="K20" s="19"/>
      <c r="L20" s="19"/>
      <c r="M20" s="19"/>
      <c r="N20" s="19"/>
      <c r="O20" s="67"/>
      <c r="P20" s="43"/>
      <c r="Q20" s="64"/>
    </row>
    <row r="21" spans="1:17" s="1" customFormat="1" ht="16" x14ac:dyDescent="0.3">
      <c r="A21" s="1" t="s">
        <v>291</v>
      </c>
      <c r="B21" s="48" t="s">
        <v>12</v>
      </c>
      <c r="C21" s="58"/>
      <c r="D21" s="58"/>
      <c r="E21" s="5"/>
      <c r="F21" s="5"/>
      <c r="G21" s="5"/>
      <c r="H21" s="5"/>
      <c r="I21" s="5"/>
      <c r="J21" s="5"/>
      <c r="K21" s="5"/>
      <c r="L21" s="5"/>
      <c r="M21" s="5"/>
      <c r="N21" s="5"/>
      <c r="O21" s="58" t="s">
        <v>277</v>
      </c>
      <c r="P21" s="43"/>
    </row>
    <row r="22" spans="1:17" s="1" customFormat="1" ht="18.75" customHeight="1" x14ac:dyDescent="0.3">
      <c r="B22" s="1639" t="s">
        <v>278</v>
      </c>
      <c r="C22" s="1791" t="s">
        <v>292</v>
      </c>
      <c r="D22" s="1791"/>
      <c r="E22" s="1791"/>
      <c r="F22" s="1791"/>
      <c r="G22" s="1791"/>
      <c r="H22" s="1791"/>
      <c r="I22" s="1791"/>
      <c r="J22" s="1791"/>
      <c r="K22" s="1641" t="s">
        <v>12</v>
      </c>
      <c r="L22" s="1641"/>
      <c r="M22" s="1641"/>
      <c r="N22" s="1641"/>
      <c r="O22" s="81" t="s">
        <v>293</v>
      </c>
      <c r="P22" s="43"/>
      <c r="Q22" s="43"/>
    </row>
    <row r="23" spans="1:17" s="35" customFormat="1" x14ac:dyDescent="0.3">
      <c r="B23" s="1639"/>
      <c r="C23" s="81" t="s">
        <v>279</v>
      </c>
      <c r="D23" s="81" t="s">
        <v>280</v>
      </c>
      <c r="E23" s="101" t="s">
        <v>281</v>
      </c>
      <c r="F23" s="101" t="s">
        <v>282</v>
      </c>
      <c r="G23" s="101" t="s">
        <v>283</v>
      </c>
      <c r="H23" s="101" t="s">
        <v>284</v>
      </c>
      <c r="I23" s="101" t="s">
        <v>285</v>
      </c>
      <c r="J23" s="101" t="s">
        <v>286</v>
      </c>
      <c r="K23" s="101" t="s">
        <v>287</v>
      </c>
      <c r="L23" s="101" t="s">
        <v>288</v>
      </c>
      <c r="M23" s="101" t="s">
        <v>289</v>
      </c>
      <c r="N23" s="101" t="s">
        <v>290</v>
      </c>
      <c r="O23" s="103"/>
    </row>
    <row r="24" spans="1:17" s="6" customFormat="1" x14ac:dyDescent="0.3">
      <c r="B24" s="142" t="s">
        <v>782</v>
      </c>
      <c r="C24" s="429">
        <f>'F2.2'!$Q$37*30/365</f>
        <v>89.75167123238235</v>
      </c>
      <c r="D24" s="429">
        <f>'F2.2'!$Q$37*31/365</f>
        <v>92.743393606795095</v>
      </c>
      <c r="E24" s="429">
        <f>'F2.2'!$Q$37*30/365</f>
        <v>89.75167123238235</v>
      </c>
      <c r="F24" s="429">
        <f>'F2.2'!$Q$37*31/365</f>
        <v>92.743393606795095</v>
      </c>
      <c r="G24" s="429">
        <f>'F2.2'!$Q$37*31/365</f>
        <v>92.743393606795095</v>
      </c>
      <c r="H24" s="429">
        <f>'F2.2'!$Q$37*30/365</f>
        <v>89.75167123238235</v>
      </c>
      <c r="I24" s="429">
        <v>111.83355831548134</v>
      </c>
      <c r="J24" s="429">
        <v>108.22602417627226</v>
      </c>
      <c r="K24" s="429">
        <v>111.83355831548134</v>
      </c>
      <c r="L24" s="429">
        <v>111.83355831548134</v>
      </c>
      <c r="M24" s="429">
        <v>101.01095589785412</v>
      </c>
      <c r="N24" s="429">
        <v>111.83355831548134</v>
      </c>
      <c r="O24" s="313">
        <f>SUM(C24:N24)</f>
        <v>1204.056407853584</v>
      </c>
    </row>
    <row r="25" spans="1:17" s="6" customFormat="1" x14ac:dyDescent="0.3">
      <c r="B25" s="102"/>
      <c r="C25" s="313"/>
      <c r="D25" s="313"/>
      <c r="E25" s="313"/>
      <c r="F25" s="313"/>
      <c r="G25" s="313"/>
      <c r="H25" s="313"/>
      <c r="I25" s="313"/>
      <c r="J25" s="313"/>
      <c r="K25" s="313"/>
      <c r="L25" s="313"/>
      <c r="M25" s="313"/>
      <c r="N25" s="313"/>
      <c r="O25" s="313">
        <f>SUM(C25:N25)</f>
        <v>0</v>
      </c>
    </row>
    <row r="26" spans="1:17" s="1" customFormat="1" x14ac:dyDescent="0.3">
      <c r="B26" s="68" t="s">
        <v>271</v>
      </c>
      <c r="C26" s="343">
        <f t="shared" ref="C26:O26" si="2">SUM(C24:C25)</f>
        <v>89.75167123238235</v>
      </c>
      <c r="D26" s="343">
        <f t="shared" si="2"/>
        <v>92.743393606795095</v>
      </c>
      <c r="E26" s="343">
        <f t="shared" si="2"/>
        <v>89.75167123238235</v>
      </c>
      <c r="F26" s="343">
        <f t="shared" si="2"/>
        <v>92.743393606795095</v>
      </c>
      <c r="G26" s="343">
        <f t="shared" si="2"/>
        <v>92.743393606795095</v>
      </c>
      <c r="H26" s="343">
        <f t="shared" si="2"/>
        <v>89.75167123238235</v>
      </c>
      <c r="I26" s="343">
        <f t="shared" si="2"/>
        <v>111.83355831548134</v>
      </c>
      <c r="J26" s="343">
        <f t="shared" si="2"/>
        <v>108.22602417627226</v>
      </c>
      <c r="K26" s="343">
        <f t="shared" si="2"/>
        <v>111.83355831548134</v>
      </c>
      <c r="L26" s="343">
        <f t="shared" si="2"/>
        <v>111.83355831548134</v>
      </c>
      <c r="M26" s="343">
        <f t="shared" si="2"/>
        <v>101.01095589785412</v>
      </c>
      <c r="N26" s="343">
        <f t="shared" si="2"/>
        <v>111.83355831548134</v>
      </c>
      <c r="O26" s="343">
        <f t="shared" si="2"/>
        <v>1204.056407853584</v>
      </c>
    </row>
    <row r="28" spans="1:17" s="1" customFormat="1" ht="16" x14ac:dyDescent="0.3">
      <c r="B28" s="48"/>
      <c r="C28" s="19"/>
      <c r="D28" s="19"/>
      <c r="E28" s="19"/>
      <c r="F28" s="19"/>
      <c r="G28" s="19"/>
      <c r="H28" s="19"/>
      <c r="I28" s="19"/>
      <c r="J28" s="19"/>
      <c r="K28" s="19"/>
      <c r="L28" s="19"/>
      <c r="M28" s="19"/>
      <c r="N28" s="19"/>
      <c r="O28" s="67"/>
      <c r="P28" s="43"/>
      <c r="Q28" s="64"/>
    </row>
    <row r="29" spans="1:17" x14ac:dyDescent="0.3">
      <c r="B29" s="48" t="s">
        <v>1078</v>
      </c>
      <c r="C29" s="19"/>
      <c r="D29" s="19"/>
      <c r="E29" s="19"/>
      <c r="F29" s="19"/>
      <c r="G29" s="19"/>
      <c r="H29" s="19"/>
      <c r="I29" s="67"/>
    </row>
    <row r="30" spans="1:17" x14ac:dyDescent="0.3">
      <c r="B30" s="48" t="s">
        <v>713</v>
      </c>
      <c r="C30" s="58"/>
      <c r="D30" s="58"/>
      <c r="O30" s="58" t="s">
        <v>277</v>
      </c>
    </row>
    <row r="31" spans="1:17" x14ac:dyDescent="0.3">
      <c r="B31" s="100" t="s">
        <v>278</v>
      </c>
      <c r="C31" s="227" t="s">
        <v>279</v>
      </c>
      <c r="D31" s="227" t="s">
        <v>280</v>
      </c>
      <c r="E31" s="101" t="s">
        <v>281</v>
      </c>
      <c r="F31" s="101" t="s">
        <v>282</v>
      </c>
      <c r="G31" s="101" t="s">
        <v>283</v>
      </c>
      <c r="H31" s="101" t="s">
        <v>284</v>
      </c>
      <c r="I31" s="101" t="s">
        <v>285</v>
      </c>
      <c r="J31" s="101" t="s">
        <v>286</v>
      </c>
      <c r="K31" s="101" t="s">
        <v>287</v>
      </c>
      <c r="L31" s="101" t="s">
        <v>288</v>
      </c>
      <c r="M31" s="101" t="s">
        <v>289</v>
      </c>
      <c r="N31" s="101" t="s">
        <v>290</v>
      </c>
      <c r="O31" s="101" t="s">
        <v>271</v>
      </c>
    </row>
    <row r="32" spans="1:17" x14ac:dyDescent="0.3">
      <c r="B32" s="142" t="s">
        <v>782</v>
      </c>
      <c r="C32" s="429">
        <f>'F2.2'!$S$37*30/365</f>
        <v>107.74128380841123</v>
      </c>
      <c r="D32" s="429">
        <f>'F2.2'!$S$37*31/365</f>
        <v>111.33265993535828</v>
      </c>
      <c r="E32" s="429">
        <f>'F2.2'!$S$37*30/365</f>
        <v>107.74128380841123</v>
      </c>
      <c r="F32" s="429">
        <f>'F2.2'!$S$37*31/365</f>
        <v>111.33265993535828</v>
      </c>
      <c r="G32" s="429">
        <f>'F2.2'!$S$37*31/365</f>
        <v>111.33265993535828</v>
      </c>
      <c r="H32" s="429">
        <f>'F2.2'!$S$37*30/365</f>
        <v>107.74128380841123</v>
      </c>
      <c r="I32" s="429">
        <f>'F2.2'!$S$37*31/365</f>
        <v>111.33265993535828</v>
      </c>
      <c r="J32" s="429">
        <f>'F2.2'!$S$37*30/365</f>
        <v>107.74128380841123</v>
      </c>
      <c r="K32" s="429">
        <f>'F2.2'!$S$37*31/365</f>
        <v>111.33265993535828</v>
      </c>
      <c r="L32" s="429">
        <f>'F2.2'!$S$37*31/365</f>
        <v>111.33265993535828</v>
      </c>
      <c r="M32" s="429">
        <f>'F2.2'!$S$37*28/365</f>
        <v>100.55853155451715</v>
      </c>
      <c r="N32" s="429">
        <f>'F2.2'!$S$37*31/365</f>
        <v>111.33265993535828</v>
      </c>
      <c r="O32" s="429">
        <f>SUM(C32:N32)</f>
        <v>1310.8522863356702</v>
      </c>
    </row>
    <row r="33" spans="2:15" x14ac:dyDescent="0.3">
      <c r="B33" s="102"/>
      <c r="C33" s="313"/>
      <c r="D33" s="313"/>
      <c r="E33" s="313"/>
      <c r="F33" s="313"/>
      <c r="G33" s="313"/>
      <c r="H33" s="313"/>
      <c r="I33" s="313"/>
      <c r="J33" s="313"/>
      <c r="K33" s="313"/>
      <c r="L33" s="313"/>
      <c r="M33" s="313"/>
      <c r="N33" s="313"/>
      <c r="O33" s="313">
        <f>SUM(C33:N33)</f>
        <v>0</v>
      </c>
    </row>
    <row r="34" spans="2:15" x14ac:dyDescent="0.3">
      <c r="B34" s="68" t="s">
        <v>271</v>
      </c>
      <c r="C34" s="343">
        <f t="shared" ref="C34:O34" si="3">SUM(C32:C33)</f>
        <v>107.74128380841123</v>
      </c>
      <c r="D34" s="343">
        <f t="shared" si="3"/>
        <v>111.33265993535828</v>
      </c>
      <c r="E34" s="343">
        <f t="shared" si="3"/>
        <v>107.74128380841123</v>
      </c>
      <c r="F34" s="343">
        <f t="shared" si="3"/>
        <v>111.33265993535828</v>
      </c>
      <c r="G34" s="343">
        <f t="shared" si="3"/>
        <v>111.33265993535828</v>
      </c>
      <c r="H34" s="343">
        <f t="shared" si="3"/>
        <v>107.74128380841123</v>
      </c>
      <c r="I34" s="343">
        <f t="shared" si="3"/>
        <v>111.33265993535828</v>
      </c>
      <c r="J34" s="343">
        <f t="shared" si="3"/>
        <v>107.74128380841123</v>
      </c>
      <c r="K34" s="343">
        <f t="shared" si="3"/>
        <v>111.33265993535828</v>
      </c>
      <c r="L34" s="343">
        <f t="shared" si="3"/>
        <v>111.33265993535828</v>
      </c>
      <c r="M34" s="343">
        <f t="shared" si="3"/>
        <v>100.55853155451715</v>
      </c>
      <c r="N34" s="343">
        <f t="shared" si="3"/>
        <v>111.33265993535828</v>
      </c>
      <c r="O34" s="343">
        <f t="shared" si="3"/>
        <v>1310.8522863356702</v>
      </c>
    </row>
    <row r="37" spans="2:15" x14ac:dyDescent="0.3">
      <c r="B37" s="48" t="s">
        <v>1079</v>
      </c>
      <c r="C37" s="19"/>
      <c r="D37" s="19"/>
      <c r="E37" s="19"/>
      <c r="F37" s="19"/>
      <c r="G37" s="19"/>
      <c r="H37" s="19"/>
      <c r="I37" s="67"/>
    </row>
    <row r="38" spans="2:15" x14ac:dyDescent="0.3">
      <c r="B38" s="48" t="s">
        <v>713</v>
      </c>
      <c r="C38" s="58"/>
      <c r="D38" s="58"/>
      <c r="O38" s="58" t="s">
        <v>277</v>
      </c>
    </row>
    <row r="39" spans="2:15" x14ac:dyDescent="0.3">
      <c r="B39" s="100" t="s">
        <v>278</v>
      </c>
      <c r="C39" s="81" t="s">
        <v>279</v>
      </c>
      <c r="D39" s="81" t="s">
        <v>280</v>
      </c>
      <c r="E39" s="101" t="s">
        <v>281</v>
      </c>
      <c r="F39" s="101" t="s">
        <v>282</v>
      </c>
      <c r="G39" s="101" t="s">
        <v>283</v>
      </c>
      <c r="H39" s="101" t="s">
        <v>284</v>
      </c>
      <c r="I39" s="101" t="s">
        <v>285</v>
      </c>
      <c r="J39" s="101" t="s">
        <v>286</v>
      </c>
      <c r="K39" s="101" t="s">
        <v>287</v>
      </c>
      <c r="L39" s="101" t="s">
        <v>288</v>
      </c>
      <c r="M39" s="101" t="s">
        <v>289</v>
      </c>
      <c r="N39" s="101" t="s">
        <v>290</v>
      </c>
      <c r="O39" s="101" t="s">
        <v>271</v>
      </c>
    </row>
    <row r="40" spans="2:15" x14ac:dyDescent="0.3">
      <c r="B40" s="142" t="s">
        <v>782</v>
      </c>
      <c r="C40" s="429">
        <f>'F2.2'!$T$37*30/365</f>
        <v>107.73727392576669</v>
      </c>
      <c r="D40" s="429">
        <f>'F2.2'!$T$37*31/365</f>
        <v>111.32851638995892</v>
      </c>
      <c r="E40" s="429">
        <f>'F2.2'!$T$37*30/365</f>
        <v>107.73727392576669</v>
      </c>
      <c r="F40" s="429">
        <f>'F2.2'!$T$37*31/365</f>
        <v>111.32851638995892</v>
      </c>
      <c r="G40" s="429">
        <f>'F2.2'!$T$37*31/365</f>
        <v>111.32851638995892</v>
      </c>
      <c r="H40" s="429">
        <f>'F2.2'!$T$37*30/365</f>
        <v>107.73727392576669</v>
      </c>
      <c r="I40" s="429">
        <f>'F2.2'!$T$37*31/365</f>
        <v>111.32851638995892</v>
      </c>
      <c r="J40" s="429">
        <f>'F2.2'!$T$37*30/365</f>
        <v>107.73727392576669</v>
      </c>
      <c r="K40" s="429">
        <f>'F2.2'!$T$37*31/365</f>
        <v>111.32851638995892</v>
      </c>
      <c r="L40" s="429">
        <f>'F2.2'!$T$37*31/365</f>
        <v>111.32851638995892</v>
      </c>
      <c r="M40" s="429">
        <f>'F2.2'!$T$37*28/365</f>
        <v>100.55478899738226</v>
      </c>
      <c r="N40" s="429">
        <f>'F2.2'!$T$37*31/365</f>
        <v>111.32851638995892</v>
      </c>
      <c r="O40" s="429">
        <f>SUM(C40:N40)</f>
        <v>1310.8034994301613</v>
      </c>
    </row>
    <row r="41" spans="2:15" x14ac:dyDescent="0.3">
      <c r="B41" s="102"/>
      <c r="C41" s="313"/>
      <c r="D41" s="313"/>
      <c r="E41" s="313"/>
      <c r="F41" s="313"/>
      <c r="G41" s="313"/>
      <c r="H41" s="313"/>
      <c r="I41" s="313"/>
      <c r="J41" s="313"/>
      <c r="K41" s="313"/>
      <c r="L41" s="313"/>
      <c r="M41" s="313"/>
      <c r="N41" s="313"/>
      <c r="O41" s="313">
        <f>SUM(C41:N41)</f>
        <v>0</v>
      </c>
    </row>
    <row r="42" spans="2:15" x14ac:dyDescent="0.3">
      <c r="B42" s="68" t="s">
        <v>271</v>
      </c>
      <c r="C42" s="343">
        <f>SUM(C40:C41)</f>
        <v>107.73727392576669</v>
      </c>
      <c r="D42" s="343">
        <f t="shared" ref="D42:O42" si="4">SUM(D40:D41)</f>
        <v>111.32851638995892</v>
      </c>
      <c r="E42" s="343">
        <f t="shared" si="4"/>
        <v>107.73727392576669</v>
      </c>
      <c r="F42" s="343">
        <f t="shared" si="4"/>
        <v>111.32851638995892</v>
      </c>
      <c r="G42" s="343">
        <f t="shared" si="4"/>
        <v>111.32851638995892</v>
      </c>
      <c r="H42" s="343">
        <f t="shared" si="4"/>
        <v>107.73727392576669</v>
      </c>
      <c r="I42" s="343">
        <f t="shared" si="4"/>
        <v>111.32851638995892</v>
      </c>
      <c r="J42" s="343">
        <f t="shared" si="4"/>
        <v>107.73727392576669</v>
      </c>
      <c r="K42" s="343">
        <f t="shared" si="4"/>
        <v>111.32851638995892</v>
      </c>
      <c r="L42" s="343">
        <f t="shared" si="4"/>
        <v>111.32851638995892</v>
      </c>
      <c r="M42" s="343">
        <f t="shared" si="4"/>
        <v>100.55478899738226</v>
      </c>
      <c r="N42" s="343">
        <f t="shared" si="4"/>
        <v>111.32851638995892</v>
      </c>
      <c r="O42" s="343">
        <f t="shared" si="4"/>
        <v>1310.8034994301613</v>
      </c>
    </row>
    <row r="45" spans="2:15" x14ac:dyDescent="0.3">
      <c r="B45" s="48" t="s">
        <v>1080</v>
      </c>
      <c r="C45" s="19"/>
      <c r="D45" s="19"/>
      <c r="E45" s="19"/>
      <c r="F45" s="19"/>
      <c r="G45" s="19"/>
      <c r="H45" s="19"/>
      <c r="I45" s="67"/>
    </row>
    <row r="46" spans="2:15" x14ac:dyDescent="0.3">
      <c r="B46" s="48" t="s">
        <v>713</v>
      </c>
      <c r="C46" s="58"/>
      <c r="D46" s="58"/>
      <c r="O46" s="58" t="s">
        <v>277</v>
      </c>
    </row>
    <row r="47" spans="2:15" x14ac:dyDescent="0.3">
      <c r="B47" s="100" t="s">
        <v>278</v>
      </c>
      <c r="C47" s="640" t="s">
        <v>279</v>
      </c>
      <c r="D47" s="640" t="s">
        <v>280</v>
      </c>
      <c r="E47" s="101" t="s">
        <v>281</v>
      </c>
      <c r="F47" s="101" t="s">
        <v>282</v>
      </c>
      <c r="G47" s="101" t="s">
        <v>283</v>
      </c>
      <c r="H47" s="101" t="s">
        <v>284</v>
      </c>
      <c r="I47" s="101" t="s">
        <v>285</v>
      </c>
      <c r="J47" s="101" t="s">
        <v>286</v>
      </c>
      <c r="K47" s="101" t="s">
        <v>287</v>
      </c>
      <c r="L47" s="101" t="s">
        <v>288</v>
      </c>
      <c r="M47" s="101" t="s">
        <v>289</v>
      </c>
      <c r="N47" s="101" t="s">
        <v>290</v>
      </c>
      <c r="O47" s="101" t="s">
        <v>271</v>
      </c>
    </row>
    <row r="48" spans="2:15" x14ac:dyDescent="0.3">
      <c r="B48" s="142" t="s">
        <v>782</v>
      </c>
      <c r="C48" s="429">
        <f>'F2.2'!$U$37*30/366</f>
        <v>107.44290978935749</v>
      </c>
      <c r="D48" s="429">
        <f>'F2.2'!$U$37*31/366</f>
        <v>111.02434011566942</v>
      </c>
      <c r="E48" s="429">
        <f>'F2.2'!$U$37*30/366</f>
        <v>107.44290978935749</v>
      </c>
      <c r="F48" s="429">
        <f>'F2.2'!$U$37*31/366</f>
        <v>111.02434011566942</v>
      </c>
      <c r="G48" s="429">
        <f>'F2.2'!$U$37*31/366</f>
        <v>111.02434011566942</v>
      </c>
      <c r="H48" s="429">
        <f>'F2.2'!$U$37*30/366</f>
        <v>107.44290978935749</v>
      </c>
      <c r="I48" s="429">
        <f>'F2.2'!$U$37*31/366</f>
        <v>111.02434011566942</v>
      </c>
      <c r="J48" s="429">
        <f>'F2.2'!$U$37*30/366</f>
        <v>107.44290978935749</v>
      </c>
      <c r="K48" s="429">
        <f>'F2.2'!$U$37*31/366</f>
        <v>111.02434011566942</v>
      </c>
      <c r="L48" s="429">
        <f>'F2.2'!$U$37*31/366</f>
        <v>111.02434011566942</v>
      </c>
      <c r="M48" s="429">
        <f>'F2.2'!$U$37*29/366</f>
        <v>103.8614794630456</v>
      </c>
      <c r="N48" s="429">
        <f>'F2.2'!$U$37*31/366</f>
        <v>111.02434011566942</v>
      </c>
      <c r="O48" s="429">
        <f>SUM(C48:N48)</f>
        <v>1310.8034994301613</v>
      </c>
    </row>
    <row r="49" spans="2:15" x14ac:dyDescent="0.3">
      <c r="B49" s="102"/>
      <c r="C49" s="313"/>
      <c r="D49" s="313"/>
      <c r="E49" s="313"/>
      <c r="F49" s="313"/>
      <c r="G49" s="313"/>
      <c r="H49" s="313"/>
      <c r="I49" s="313"/>
      <c r="J49" s="313"/>
      <c r="K49" s="313"/>
      <c r="L49" s="313"/>
      <c r="M49" s="313"/>
      <c r="N49" s="313"/>
      <c r="O49" s="313">
        <f>SUM(C49:N49)</f>
        <v>0</v>
      </c>
    </row>
    <row r="50" spans="2:15" x14ac:dyDescent="0.3">
      <c r="B50" s="68" t="s">
        <v>271</v>
      </c>
      <c r="C50" s="343">
        <f>SUM(C48:C49)</f>
        <v>107.44290978935749</v>
      </c>
      <c r="D50" s="343">
        <f t="shared" ref="D50:O50" si="5">SUM(D48:D49)</f>
        <v>111.02434011566942</v>
      </c>
      <c r="E50" s="343">
        <f t="shared" si="5"/>
        <v>107.44290978935749</v>
      </c>
      <c r="F50" s="343">
        <f t="shared" si="5"/>
        <v>111.02434011566942</v>
      </c>
      <c r="G50" s="343">
        <f t="shared" si="5"/>
        <v>111.02434011566942</v>
      </c>
      <c r="H50" s="343">
        <f t="shared" si="5"/>
        <v>107.44290978935749</v>
      </c>
      <c r="I50" s="343">
        <f t="shared" si="5"/>
        <v>111.02434011566942</v>
      </c>
      <c r="J50" s="343">
        <f t="shared" si="5"/>
        <v>107.44290978935749</v>
      </c>
      <c r="K50" s="343">
        <f t="shared" si="5"/>
        <v>111.02434011566942</v>
      </c>
      <c r="L50" s="343">
        <f t="shared" si="5"/>
        <v>111.02434011566942</v>
      </c>
      <c r="M50" s="343">
        <f t="shared" si="5"/>
        <v>103.8614794630456</v>
      </c>
      <c r="N50" s="343">
        <f t="shared" si="5"/>
        <v>111.02434011566942</v>
      </c>
      <c r="O50" s="343">
        <f t="shared" si="5"/>
        <v>1310.8034994301613</v>
      </c>
    </row>
    <row r="53" spans="2:15" x14ac:dyDescent="0.3">
      <c r="B53" s="48" t="s">
        <v>1081</v>
      </c>
      <c r="C53" s="19"/>
      <c r="D53" s="19"/>
      <c r="E53" s="19"/>
      <c r="F53" s="19"/>
      <c r="G53" s="19"/>
      <c r="H53" s="19"/>
      <c r="I53" s="67"/>
    </row>
    <row r="54" spans="2:15" x14ac:dyDescent="0.3">
      <c r="B54" s="48" t="s">
        <v>713</v>
      </c>
      <c r="C54" s="58"/>
      <c r="D54" s="58"/>
      <c r="O54" s="58" t="s">
        <v>277</v>
      </c>
    </row>
    <row r="55" spans="2:15" x14ac:dyDescent="0.3">
      <c r="B55" s="100" t="s">
        <v>278</v>
      </c>
      <c r="C55" s="640" t="s">
        <v>279</v>
      </c>
      <c r="D55" s="640" t="s">
        <v>280</v>
      </c>
      <c r="E55" s="101" t="s">
        <v>281</v>
      </c>
      <c r="F55" s="101" t="s">
        <v>282</v>
      </c>
      <c r="G55" s="101" t="s">
        <v>283</v>
      </c>
      <c r="H55" s="101" t="s">
        <v>284</v>
      </c>
      <c r="I55" s="101" t="s">
        <v>285</v>
      </c>
      <c r="J55" s="101" t="s">
        <v>286</v>
      </c>
      <c r="K55" s="101" t="s">
        <v>287</v>
      </c>
      <c r="L55" s="101" t="s">
        <v>288</v>
      </c>
      <c r="M55" s="101" t="s">
        <v>289</v>
      </c>
      <c r="N55" s="101" t="s">
        <v>290</v>
      </c>
      <c r="O55" s="101" t="s">
        <v>271</v>
      </c>
    </row>
    <row r="56" spans="2:15" x14ac:dyDescent="0.3">
      <c r="B56" s="142" t="s">
        <v>782</v>
      </c>
      <c r="C56" s="429">
        <f>'F2.2'!$V$37*30/365</f>
        <v>107.73727392576669</v>
      </c>
      <c r="D56" s="429">
        <f>'F2.2'!$V$37*31/365</f>
        <v>111.32851638995892</v>
      </c>
      <c r="E56" s="429">
        <f>'F2.2'!$V$37*30/365</f>
        <v>107.73727392576669</v>
      </c>
      <c r="F56" s="429">
        <f>'F2.2'!$V$37*31/365</f>
        <v>111.32851638995892</v>
      </c>
      <c r="G56" s="429">
        <f>'F2.2'!$V$37*31/365</f>
        <v>111.32851638995892</v>
      </c>
      <c r="H56" s="429">
        <f>'F2.2'!$V$37*30/365</f>
        <v>107.73727392576669</v>
      </c>
      <c r="I56" s="429">
        <f>'F2.2'!$V$37*31/365</f>
        <v>111.32851638995892</v>
      </c>
      <c r="J56" s="429">
        <f>'F2.2'!$V$37*30/365</f>
        <v>107.73727392576669</v>
      </c>
      <c r="K56" s="429">
        <f>'F2.2'!$V$37*31/365</f>
        <v>111.32851638995892</v>
      </c>
      <c r="L56" s="429">
        <f>'F2.2'!$V$37*31/365</f>
        <v>111.32851638995892</v>
      </c>
      <c r="M56" s="429">
        <f>'F2.2'!$V$37*28/365</f>
        <v>100.55478899738226</v>
      </c>
      <c r="N56" s="429">
        <f>'F2.2'!$V$37*31/365</f>
        <v>111.32851638995892</v>
      </c>
      <c r="O56" s="429">
        <f>SUM(C56:N56)</f>
        <v>1310.8034994301613</v>
      </c>
    </row>
    <row r="57" spans="2:15" x14ac:dyDescent="0.3">
      <c r="B57" s="102"/>
      <c r="C57" s="313"/>
      <c r="D57" s="313"/>
      <c r="E57" s="313"/>
      <c r="F57" s="313"/>
      <c r="G57" s="313"/>
      <c r="H57" s="313"/>
      <c r="I57" s="313"/>
      <c r="J57" s="313"/>
      <c r="K57" s="313"/>
      <c r="L57" s="313"/>
      <c r="M57" s="313"/>
      <c r="N57" s="313"/>
      <c r="O57" s="313">
        <f>SUM(C57:N57)</f>
        <v>0</v>
      </c>
    </row>
    <row r="58" spans="2:15" x14ac:dyDescent="0.3">
      <c r="B58" s="68" t="s">
        <v>271</v>
      </c>
      <c r="C58" s="343">
        <f>SUM(C56:C57)</f>
        <v>107.73727392576669</v>
      </c>
      <c r="D58" s="343">
        <f t="shared" ref="D58:O58" si="6">SUM(D56:D57)</f>
        <v>111.32851638995892</v>
      </c>
      <c r="E58" s="343">
        <f t="shared" si="6"/>
        <v>107.73727392576669</v>
      </c>
      <c r="F58" s="343">
        <f t="shared" si="6"/>
        <v>111.32851638995892</v>
      </c>
      <c r="G58" s="343">
        <f t="shared" si="6"/>
        <v>111.32851638995892</v>
      </c>
      <c r="H58" s="343">
        <f t="shared" si="6"/>
        <v>107.73727392576669</v>
      </c>
      <c r="I58" s="343">
        <f t="shared" si="6"/>
        <v>111.32851638995892</v>
      </c>
      <c r="J58" s="343">
        <f t="shared" si="6"/>
        <v>107.73727392576669</v>
      </c>
      <c r="K58" s="343">
        <f t="shared" si="6"/>
        <v>111.32851638995892</v>
      </c>
      <c r="L58" s="343">
        <f t="shared" si="6"/>
        <v>111.32851638995892</v>
      </c>
      <c r="M58" s="343">
        <f t="shared" si="6"/>
        <v>100.55478899738226</v>
      </c>
      <c r="N58" s="343">
        <f t="shared" si="6"/>
        <v>111.32851638995892</v>
      </c>
      <c r="O58" s="343">
        <f t="shared" si="6"/>
        <v>1310.8034994301613</v>
      </c>
    </row>
    <row r="61" spans="2:15" x14ac:dyDescent="0.3">
      <c r="B61" s="48" t="s">
        <v>1082</v>
      </c>
      <c r="C61" s="19"/>
      <c r="D61" s="19"/>
      <c r="E61" s="19"/>
      <c r="F61" s="19"/>
      <c r="G61" s="19"/>
      <c r="H61" s="19"/>
      <c r="I61" s="67"/>
    </row>
    <row r="62" spans="2:15" x14ac:dyDescent="0.3">
      <c r="B62" s="48" t="s">
        <v>713</v>
      </c>
      <c r="C62" s="58"/>
      <c r="D62" s="58"/>
      <c r="O62" s="58" t="s">
        <v>277</v>
      </c>
    </row>
    <row r="63" spans="2:15" x14ac:dyDescent="0.3">
      <c r="B63" s="100" t="s">
        <v>278</v>
      </c>
      <c r="C63" s="640" t="s">
        <v>279</v>
      </c>
      <c r="D63" s="640" t="s">
        <v>280</v>
      </c>
      <c r="E63" s="101" t="s">
        <v>281</v>
      </c>
      <c r="F63" s="101" t="s">
        <v>282</v>
      </c>
      <c r="G63" s="101" t="s">
        <v>283</v>
      </c>
      <c r="H63" s="101" t="s">
        <v>284</v>
      </c>
      <c r="I63" s="101" t="s">
        <v>285</v>
      </c>
      <c r="J63" s="101" t="s">
        <v>286</v>
      </c>
      <c r="K63" s="101" t="s">
        <v>287</v>
      </c>
      <c r="L63" s="101" t="s">
        <v>288</v>
      </c>
      <c r="M63" s="101" t="s">
        <v>289</v>
      </c>
      <c r="N63" s="101" t="s">
        <v>290</v>
      </c>
      <c r="O63" s="101" t="s">
        <v>271</v>
      </c>
    </row>
    <row r="64" spans="2:15" x14ac:dyDescent="0.3">
      <c r="B64" s="142" t="s">
        <v>782</v>
      </c>
      <c r="C64" s="429">
        <f>'F2.2'!$W$37*30/365</f>
        <v>107.73727392576669</v>
      </c>
      <c r="D64" s="429">
        <f>'F2.2'!$V$37*31/365</f>
        <v>111.32851638995892</v>
      </c>
      <c r="E64" s="429">
        <f>'F2.2'!$V$37*30/365</f>
        <v>107.73727392576669</v>
      </c>
      <c r="F64" s="429">
        <f>'F2.2'!$V$37*31/365</f>
        <v>111.32851638995892</v>
      </c>
      <c r="G64" s="429">
        <f>'F2.2'!$V$37*31/365</f>
        <v>111.32851638995892</v>
      </c>
      <c r="H64" s="429">
        <f>'F2.2'!$V$37*30/365</f>
        <v>107.73727392576669</v>
      </c>
      <c r="I64" s="429">
        <f>'F2.2'!$V$37*31/365</f>
        <v>111.32851638995892</v>
      </c>
      <c r="J64" s="429">
        <f>'F2.2'!$V$37*30/365</f>
        <v>107.73727392576669</v>
      </c>
      <c r="K64" s="429">
        <f>'F2.2'!$V$37*31/365</f>
        <v>111.32851638995892</v>
      </c>
      <c r="L64" s="429">
        <f>'F2.2'!$V$37*31/365</f>
        <v>111.32851638995892</v>
      </c>
      <c r="M64" s="429">
        <f>'F2.2'!$V$37*28/365</f>
        <v>100.55478899738226</v>
      </c>
      <c r="N64" s="429">
        <f>'F2.2'!$V$37*31/365</f>
        <v>111.32851638995892</v>
      </c>
      <c r="O64" s="429">
        <f>SUM(C64:N64)</f>
        <v>1310.8034994301613</v>
      </c>
    </row>
    <row r="65" spans="2:15" x14ac:dyDescent="0.3">
      <c r="B65" s="102"/>
      <c r="C65" s="313"/>
      <c r="D65" s="313"/>
      <c r="E65" s="313"/>
      <c r="F65" s="313"/>
      <c r="G65" s="313"/>
      <c r="H65" s="313"/>
      <c r="I65" s="313"/>
      <c r="J65" s="313"/>
      <c r="K65" s="313"/>
      <c r="L65" s="313"/>
      <c r="M65" s="313"/>
      <c r="N65" s="313"/>
      <c r="O65" s="313">
        <f>SUM(C65:N65)</f>
        <v>0</v>
      </c>
    </row>
    <row r="66" spans="2:15" x14ac:dyDescent="0.3">
      <c r="B66" s="68" t="s">
        <v>271</v>
      </c>
      <c r="C66" s="343">
        <f>SUM(C64:C65)</f>
        <v>107.73727392576669</v>
      </c>
      <c r="D66" s="343">
        <f t="shared" ref="D66:O66" si="7">SUM(D64:D65)</f>
        <v>111.32851638995892</v>
      </c>
      <c r="E66" s="343">
        <f t="shared" si="7"/>
        <v>107.73727392576669</v>
      </c>
      <c r="F66" s="343">
        <f t="shared" si="7"/>
        <v>111.32851638995892</v>
      </c>
      <c r="G66" s="343">
        <f t="shared" si="7"/>
        <v>111.32851638995892</v>
      </c>
      <c r="H66" s="343">
        <f t="shared" si="7"/>
        <v>107.73727392576669</v>
      </c>
      <c r="I66" s="343">
        <f t="shared" si="7"/>
        <v>111.32851638995892</v>
      </c>
      <c r="J66" s="343">
        <f t="shared" si="7"/>
        <v>107.73727392576669</v>
      </c>
      <c r="K66" s="343">
        <f t="shared" si="7"/>
        <v>111.32851638995892</v>
      </c>
      <c r="L66" s="343">
        <f t="shared" si="7"/>
        <v>111.32851638995892</v>
      </c>
      <c r="M66" s="343">
        <f t="shared" si="7"/>
        <v>100.55478899738226</v>
      </c>
      <c r="N66" s="343">
        <f t="shared" si="7"/>
        <v>111.32851638995892</v>
      </c>
      <c r="O66" s="343">
        <f t="shared" si="7"/>
        <v>1310.8034994301613</v>
      </c>
    </row>
  </sheetData>
  <mergeCells count="6">
    <mergeCell ref="B2:O2"/>
    <mergeCell ref="B3:O3"/>
    <mergeCell ref="B4:O4"/>
    <mergeCell ref="B22:B23"/>
    <mergeCell ref="K22:N22"/>
    <mergeCell ref="C22:J22"/>
  </mergeCells>
  <pageMargins left="1.63" right="1.33" top="1" bottom="0.37" header="0.5" footer="0.5"/>
  <pageSetup paperSize="9" scale="5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B1:O37"/>
  <sheetViews>
    <sheetView showGridLines="0" view="pageBreakPreview" topLeftCell="A17" zoomScale="70" zoomScaleNormal="75" zoomScaleSheetLayoutView="70" workbookViewId="0">
      <selection activeCell="P34" sqref="P34"/>
    </sheetView>
  </sheetViews>
  <sheetFormatPr defaultColWidth="9.36328125" defaultRowHeight="13" x14ac:dyDescent="0.25"/>
  <cols>
    <col min="1" max="1" width="9.36328125" style="69"/>
    <col min="2" max="2" width="29.453125" style="69" customWidth="1"/>
    <col min="3" max="6" width="12.36328125" style="69" customWidth="1"/>
    <col min="7" max="9" width="10.36328125" style="69" customWidth="1"/>
    <col min="10" max="14" width="11.6328125" style="69" customWidth="1"/>
    <col min="15" max="16384" width="9.36328125" style="69"/>
  </cols>
  <sheetData>
    <row r="1" spans="2:14" s="5" customFormat="1" ht="14" x14ac:dyDescent="0.3">
      <c r="B1" s="66"/>
    </row>
    <row r="2" spans="2:14" s="5" customFormat="1" ht="14" x14ac:dyDescent="0.3">
      <c r="B2" s="15" t="str">
        <f>Index!B2</f>
        <v xml:space="preserve">      Maharashtra State Power Generation Company Ltd.</v>
      </c>
      <c r="C2" s="18"/>
      <c r="D2" s="18"/>
      <c r="E2" s="18"/>
      <c r="F2" s="18"/>
      <c r="G2" s="18"/>
      <c r="H2" s="18"/>
      <c r="I2" s="18"/>
      <c r="J2" s="18"/>
      <c r="K2" s="18"/>
      <c r="L2" s="18"/>
      <c r="M2" s="18"/>
      <c r="N2" s="18"/>
    </row>
    <row r="3" spans="2:14" s="5" customFormat="1" ht="14" x14ac:dyDescent="0.3">
      <c r="B3" s="15" t="str">
        <f>Index!B3</f>
        <v>MYT Petition Formats for Bhusawal Unit 3</v>
      </c>
      <c r="C3" s="65"/>
      <c r="D3" s="65"/>
      <c r="E3" s="65"/>
      <c r="F3" s="65"/>
      <c r="G3" s="65"/>
      <c r="H3" s="65"/>
      <c r="I3" s="65"/>
      <c r="J3" s="65"/>
      <c r="K3" s="65"/>
      <c r="L3" s="65"/>
      <c r="M3" s="65"/>
      <c r="N3" s="18"/>
    </row>
    <row r="4" spans="2:14" s="5" customFormat="1" ht="14" x14ac:dyDescent="0.3">
      <c r="B4" s="17" t="s">
        <v>344</v>
      </c>
      <c r="C4" s="19"/>
      <c r="D4" s="19"/>
      <c r="E4" s="19"/>
      <c r="F4" s="19"/>
      <c r="G4" s="19"/>
      <c r="H4" s="19"/>
      <c r="I4" s="19"/>
      <c r="J4" s="19"/>
      <c r="K4" s="19"/>
      <c r="L4" s="19"/>
      <c r="M4" s="19"/>
      <c r="N4" s="19"/>
    </row>
    <row r="6" spans="2:14" ht="14" x14ac:dyDescent="0.3">
      <c r="B6" s="48" t="s">
        <v>505</v>
      </c>
    </row>
    <row r="7" spans="2:14" ht="14" x14ac:dyDescent="0.3">
      <c r="B7" s="48" t="s">
        <v>29</v>
      </c>
      <c r="N7" s="70" t="s">
        <v>10</v>
      </c>
    </row>
    <row r="8" spans="2:14" ht="13.25" customHeight="1" x14ac:dyDescent="0.25">
      <c r="B8" s="1792" t="s">
        <v>278</v>
      </c>
      <c r="C8" s="1641" t="s">
        <v>294</v>
      </c>
      <c r="D8" s="1641"/>
      <c r="E8" s="1641"/>
      <c r="F8" s="1641"/>
      <c r="G8" s="1639" t="s">
        <v>295</v>
      </c>
      <c r="H8" s="1639"/>
      <c r="I8" s="1639"/>
      <c r="J8" s="1639" t="s">
        <v>296</v>
      </c>
      <c r="K8" s="1639"/>
      <c r="L8" s="1639"/>
      <c r="M8" s="1639"/>
      <c r="N8" s="1639"/>
    </row>
    <row r="9" spans="2:14" ht="84" x14ac:dyDescent="0.25">
      <c r="B9" s="1794"/>
      <c r="C9" s="299" t="s">
        <v>347</v>
      </c>
      <c r="D9" s="299" t="s">
        <v>345</v>
      </c>
      <c r="E9" s="299" t="s">
        <v>743</v>
      </c>
      <c r="F9" s="299" t="s">
        <v>346</v>
      </c>
      <c r="G9" s="299" t="s">
        <v>297</v>
      </c>
      <c r="H9" s="299" t="s">
        <v>744</v>
      </c>
      <c r="I9" s="299" t="s">
        <v>298</v>
      </c>
      <c r="J9" s="299" t="s">
        <v>299</v>
      </c>
      <c r="K9" s="299" t="s">
        <v>300</v>
      </c>
      <c r="L9" s="299" t="s">
        <v>745</v>
      </c>
      <c r="M9" s="299" t="s">
        <v>746</v>
      </c>
      <c r="N9" s="300" t="s">
        <v>271</v>
      </c>
    </row>
    <row r="10" spans="2:14" x14ac:dyDescent="0.25">
      <c r="B10" s="105"/>
      <c r="C10" s="106"/>
      <c r="D10" s="106"/>
      <c r="E10" s="106"/>
      <c r="F10" s="106"/>
      <c r="G10" s="106"/>
      <c r="H10" s="106"/>
      <c r="I10" s="106"/>
      <c r="J10" s="106"/>
      <c r="K10" s="106"/>
      <c r="L10" s="106"/>
      <c r="M10" s="106"/>
      <c r="N10" s="107"/>
    </row>
    <row r="11" spans="2:14" ht="14" x14ac:dyDescent="0.25">
      <c r="B11" s="142" t="s">
        <v>782</v>
      </c>
      <c r="C11" s="327">
        <f>'F9.1'!Q21</f>
        <v>112.04119889999996</v>
      </c>
      <c r="D11" s="327">
        <f>'F9.1'!$Q$18</f>
        <v>4.1020000016148828</v>
      </c>
      <c r="E11" s="327">
        <f>'F9.1'!Q28</f>
        <v>2.418439269999999</v>
      </c>
      <c r="F11" s="327">
        <f>'F9.1'!Q20</f>
        <v>0.79023366646601245</v>
      </c>
      <c r="G11" s="327">
        <f>'F9.1'!Q16</f>
        <v>640.29433299999994</v>
      </c>
      <c r="H11" s="327"/>
      <c r="I11" s="327"/>
      <c r="J11" s="327">
        <f>C11</f>
        <v>112.04119889999996</v>
      </c>
      <c r="K11" s="327">
        <f>'F9.1'!Q22</f>
        <v>262.64873549999999</v>
      </c>
      <c r="L11" s="330">
        <f>SUM('F9.1'!Q24:Q25)-'F9.1'!Q28</f>
        <v>-5.9829653</v>
      </c>
      <c r="M11" s="327">
        <f>'F9.1'!Q23</f>
        <v>50.598213838399985</v>
      </c>
      <c r="N11" s="327">
        <f>SUM(J11:M11)</f>
        <v>419.30518293839998</v>
      </c>
    </row>
    <row r="12" spans="2:14" ht="14" x14ac:dyDescent="0.25">
      <c r="B12" s="102"/>
      <c r="C12" s="108"/>
      <c r="D12" s="108"/>
      <c r="E12" s="108"/>
      <c r="F12" s="108"/>
      <c r="G12" s="108"/>
      <c r="H12" s="108"/>
      <c r="I12" s="108"/>
      <c r="J12" s="108"/>
      <c r="K12" s="108"/>
      <c r="L12" s="108"/>
      <c r="M12" s="108"/>
      <c r="N12" s="108"/>
    </row>
    <row r="13" spans="2:14" ht="14" x14ac:dyDescent="0.25">
      <c r="B13" s="102" t="s">
        <v>271</v>
      </c>
      <c r="C13" s="350"/>
      <c r="D13" s="350"/>
      <c r="E13" s="350"/>
      <c r="F13" s="350"/>
      <c r="G13" s="350">
        <f t="shared" ref="G13:N13" si="0">SUM(G10:G12)</f>
        <v>640.29433299999994</v>
      </c>
      <c r="H13" s="350"/>
      <c r="I13" s="350"/>
      <c r="J13" s="350">
        <f t="shared" si="0"/>
        <v>112.04119889999996</v>
      </c>
      <c r="K13" s="350">
        <f t="shared" si="0"/>
        <v>262.64873549999999</v>
      </c>
      <c r="L13" s="350">
        <f t="shared" si="0"/>
        <v>-5.9829653</v>
      </c>
      <c r="M13" s="350">
        <f t="shared" si="0"/>
        <v>50.598213838399985</v>
      </c>
      <c r="N13" s="350">
        <f t="shared" si="0"/>
        <v>419.30518293839998</v>
      </c>
    </row>
    <row r="14" spans="2:14" x14ac:dyDescent="0.25">
      <c r="B14" s="72"/>
      <c r="C14" s="73"/>
      <c r="D14" s="73"/>
      <c r="E14" s="73"/>
      <c r="F14" s="73"/>
      <c r="G14" s="73"/>
      <c r="H14" s="73"/>
      <c r="I14" s="73"/>
      <c r="J14" s="73"/>
      <c r="K14" s="73"/>
      <c r="L14" s="73"/>
      <c r="M14" s="73"/>
      <c r="N14" s="73"/>
    </row>
    <row r="15" spans="2:14" ht="14" x14ac:dyDescent="0.3">
      <c r="B15" s="48" t="s">
        <v>506</v>
      </c>
    </row>
    <row r="16" spans="2:14" ht="14" x14ac:dyDescent="0.3">
      <c r="B16" s="48" t="s">
        <v>29</v>
      </c>
      <c r="N16" s="70" t="s">
        <v>10</v>
      </c>
    </row>
    <row r="17" spans="2:15" s="109" customFormat="1" ht="45.75" customHeight="1" x14ac:dyDescent="0.25">
      <c r="B17" s="1792" t="s">
        <v>278</v>
      </c>
      <c r="C17" s="1641" t="s">
        <v>294</v>
      </c>
      <c r="D17" s="1641"/>
      <c r="E17" s="1641"/>
      <c r="F17" s="1641"/>
      <c r="G17" s="1639" t="s">
        <v>295</v>
      </c>
      <c r="H17" s="1639"/>
      <c r="I17" s="1639"/>
      <c r="J17" s="1639" t="s">
        <v>296</v>
      </c>
      <c r="K17" s="1639"/>
      <c r="L17" s="1639"/>
      <c r="M17" s="1639"/>
      <c r="N17" s="1639"/>
    </row>
    <row r="18" spans="2:15" ht="73.25" customHeight="1" x14ac:dyDescent="0.25">
      <c r="B18" s="1794"/>
      <c r="C18" s="299" t="s">
        <v>347</v>
      </c>
      <c r="D18" s="299" t="s">
        <v>345</v>
      </c>
      <c r="E18" s="299" t="s">
        <v>743</v>
      </c>
      <c r="F18" s="299" t="s">
        <v>346</v>
      </c>
      <c r="G18" s="299" t="s">
        <v>297</v>
      </c>
      <c r="H18" s="299" t="s">
        <v>744</v>
      </c>
      <c r="I18" s="299" t="s">
        <v>298</v>
      </c>
      <c r="J18" s="299" t="s">
        <v>299</v>
      </c>
      <c r="K18" s="299" t="s">
        <v>300</v>
      </c>
      <c r="L18" s="299" t="s">
        <v>745</v>
      </c>
      <c r="M18" s="299" t="s">
        <v>746</v>
      </c>
      <c r="N18" s="300" t="s">
        <v>271</v>
      </c>
    </row>
    <row r="19" spans="2:15" s="71" customFormat="1" x14ac:dyDescent="0.25">
      <c r="B19" s="105"/>
      <c r="C19" s="351"/>
      <c r="D19" s="351"/>
      <c r="E19" s="351"/>
      <c r="F19" s="351"/>
      <c r="G19" s="351"/>
      <c r="H19" s="351"/>
      <c r="I19" s="351"/>
      <c r="J19" s="351"/>
      <c r="K19" s="351"/>
      <c r="L19" s="351"/>
      <c r="M19" s="351"/>
      <c r="N19" s="352"/>
    </row>
    <row r="20" spans="2:15" ht="14" x14ac:dyDescent="0.25">
      <c r="B20" s="142" t="s">
        <v>782</v>
      </c>
      <c r="C20" s="327">
        <f>'F9.1'!Q47</f>
        <v>137.23568270000001</v>
      </c>
      <c r="D20" s="327">
        <f>'F9.1'!Q44</f>
        <v>4.4080000001155266</v>
      </c>
      <c r="E20" s="327">
        <f>'F9.1'!Q54</f>
        <v>2.7086661810000003</v>
      </c>
      <c r="F20" s="327">
        <f>'F9.1'!Q46</f>
        <v>0.18312885840488752</v>
      </c>
      <c r="G20" s="327">
        <f>'F9.1'!Q42</f>
        <v>900.21326200000021</v>
      </c>
      <c r="H20" s="327"/>
      <c r="I20" s="327"/>
      <c r="J20" s="327">
        <f>C20</f>
        <v>137.23568270000001</v>
      </c>
      <c r="K20" s="327">
        <f>'F9.1'!Q48</f>
        <v>396.81400589999998</v>
      </c>
      <c r="L20" s="330">
        <f>'F9.1'!Q51</f>
        <v>-0.22062130000000005</v>
      </c>
      <c r="M20" s="327">
        <f>'F9.1'!Q49</f>
        <v>16.485502699099996</v>
      </c>
      <c r="N20" s="327">
        <f>SUM(J20:M20)</f>
        <v>550.31456999910006</v>
      </c>
    </row>
    <row r="21" spans="2:15" ht="14" x14ac:dyDescent="0.25">
      <c r="B21" s="102"/>
      <c r="C21" s="327"/>
      <c r="D21" s="327"/>
      <c r="E21" s="327"/>
      <c r="F21" s="327"/>
      <c r="G21" s="327"/>
      <c r="H21" s="327"/>
      <c r="I21" s="327"/>
      <c r="J21" s="327"/>
      <c r="K21" s="327"/>
      <c r="L21" s="327"/>
      <c r="M21" s="327"/>
      <c r="N21" s="327"/>
    </row>
    <row r="22" spans="2:15" ht="14" x14ac:dyDescent="0.25">
      <c r="B22" s="102" t="s">
        <v>271</v>
      </c>
      <c r="C22" s="350"/>
      <c r="D22" s="350"/>
      <c r="E22" s="350"/>
      <c r="F22" s="350"/>
      <c r="G22" s="350">
        <f>SUM(G19:G21)</f>
        <v>900.21326200000021</v>
      </c>
      <c r="H22" s="350"/>
      <c r="I22" s="350"/>
      <c r="J22" s="350">
        <f>SUM(J19:J21)</f>
        <v>137.23568270000001</v>
      </c>
      <c r="K22" s="350">
        <f>SUM(K19:K21)</f>
        <v>396.81400589999998</v>
      </c>
      <c r="L22" s="350">
        <f>SUM(L19:L21)</f>
        <v>-0.22062130000000005</v>
      </c>
      <c r="M22" s="350">
        <f>SUM(M19:M21)</f>
        <v>16.485502699099996</v>
      </c>
      <c r="N22" s="350">
        <f>SUM(N19:N21)</f>
        <v>550.31456999910006</v>
      </c>
    </row>
    <row r="23" spans="2:15" x14ac:dyDescent="0.25">
      <c r="B23" s="72"/>
      <c r="C23" s="73"/>
      <c r="D23" s="73"/>
      <c r="E23" s="73"/>
      <c r="F23" s="73"/>
      <c r="G23" s="73"/>
      <c r="H23" s="73"/>
      <c r="I23" s="73"/>
      <c r="J23" s="73"/>
      <c r="K23" s="73"/>
      <c r="L23" s="73"/>
      <c r="M23" s="73"/>
      <c r="N23" s="73"/>
    </row>
    <row r="24" spans="2:15" ht="14" x14ac:dyDescent="0.3">
      <c r="B24" s="714" t="s">
        <v>1077</v>
      </c>
    </row>
    <row r="25" spans="2:15" ht="14" x14ac:dyDescent="0.3">
      <c r="B25" s="48" t="s">
        <v>12</v>
      </c>
      <c r="N25" s="70" t="s">
        <v>10</v>
      </c>
    </row>
    <row r="26" spans="2:15" ht="30.75" customHeight="1" x14ac:dyDescent="0.25">
      <c r="B26" s="1792" t="s">
        <v>278</v>
      </c>
      <c r="C26" s="1641" t="s">
        <v>294</v>
      </c>
      <c r="D26" s="1641"/>
      <c r="E26" s="1641"/>
      <c r="F26" s="1641"/>
      <c r="G26" s="1639" t="s">
        <v>295</v>
      </c>
      <c r="H26" s="1639"/>
      <c r="I26" s="1639"/>
      <c r="J26" s="1793" t="s">
        <v>296</v>
      </c>
      <c r="K26" s="1793"/>
      <c r="L26" s="1793"/>
      <c r="M26" s="1793"/>
      <c r="N26" s="1793"/>
    </row>
    <row r="27" spans="2:15" ht="70.25" customHeight="1" x14ac:dyDescent="0.25">
      <c r="B27" s="1792"/>
      <c r="C27" s="299" t="s">
        <v>347</v>
      </c>
      <c r="D27" s="299" t="s">
        <v>345</v>
      </c>
      <c r="E27" s="299" t="s">
        <v>743</v>
      </c>
      <c r="F27" s="299" t="s">
        <v>346</v>
      </c>
      <c r="G27" s="299" t="s">
        <v>297</v>
      </c>
      <c r="H27" s="299" t="s">
        <v>744</v>
      </c>
      <c r="I27" s="299" t="s">
        <v>298</v>
      </c>
      <c r="J27" s="299" t="s">
        <v>299</v>
      </c>
      <c r="K27" s="299" t="s">
        <v>300</v>
      </c>
      <c r="L27" s="299" t="s">
        <v>745</v>
      </c>
      <c r="M27" s="299" t="s">
        <v>746</v>
      </c>
      <c r="N27" s="300" t="s">
        <v>271</v>
      </c>
    </row>
    <row r="28" spans="2:15" x14ac:dyDescent="0.25">
      <c r="B28" s="105"/>
      <c r="C28" s="106"/>
      <c r="D28" s="106"/>
      <c r="E28" s="106"/>
      <c r="F28" s="106"/>
      <c r="G28" s="106"/>
      <c r="H28" s="106"/>
      <c r="I28" s="106"/>
      <c r="J28" s="106"/>
      <c r="K28" s="106"/>
      <c r="L28" s="106"/>
      <c r="M28" s="106"/>
      <c r="N28" s="107"/>
    </row>
    <row r="29" spans="2:15" ht="14" x14ac:dyDescent="0.25">
      <c r="B29" s="142" t="s">
        <v>1668</v>
      </c>
      <c r="C29" s="327">
        <v>83.965735400000014</v>
      </c>
      <c r="D29" s="327">
        <f>K29/G29*10</f>
        <v>3.5769818858020042</v>
      </c>
      <c r="E29" s="108"/>
      <c r="F29" s="1105">
        <f>M29/G29*10</f>
        <v>0.42830529634439407</v>
      </c>
      <c r="G29" s="330">
        <f>SUM('F8'!C26:H26)</f>
        <v>547.48519451753236</v>
      </c>
      <c r="H29" s="108"/>
      <c r="I29" s="108"/>
      <c r="J29" s="329">
        <f>C29</f>
        <v>83.965735400000014</v>
      </c>
      <c r="K29" s="329">
        <v>195.8344623534</v>
      </c>
      <c r="L29" s="108"/>
      <c r="M29" s="328">
        <v>23.449080848199994</v>
      </c>
      <c r="N29" s="329">
        <f>SUM(J29:M29)</f>
        <v>303.2492786016</v>
      </c>
      <c r="O29" s="1104">
        <f>K29/G29*10</f>
        <v>3.5769818858020042</v>
      </c>
    </row>
    <row r="30" spans="2:15" ht="14" x14ac:dyDescent="0.25">
      <c r="B30" s="142" t="s">
        <v>1669</v>
      </c>
      <c r="C30" s="327">
        <v>89.120841029175679</v>
      </c>
      <c r="D30" s="327">
        <v>4.46127598597689</v>
      </c>
      <c r="E30" s="108"/>
      <c r="F30" s="108"/>
      <c r="G30" s="327">
        <f>SUM('F8'!I26:N26)</f>
        <v>656.57121333605176</v>
      </c>
      <c r="H30" s="108"/>
      <c r="I30" s="108"/>
      <c r="J30" s="329">
        <f>C30</f>
        <v>89.120841029175679</v>
      </c>
      <c r="K30" s="327">
        <f>D30*G30/10</f>
        <v>292.91453871398369</v>
      </c>
      <c r="L30" s="108"/>
      <c r="M30" s="108"/>
      <c r="N30" s="329">
        <f>SUM(J30:M30)</f>
        <v>382.03537974315935</v>
      </c>
    </row>
    <row r="31" spans="2:15" ht="14" x14ac:dyDescent="0.25">
      <c r="B31" s="102" t="s">
        <v>271</v>
      </c>
      <c r="C31" s="350">
        <f>SUM(C29:C30)</f>
        <v>173.08657642917569</v>
      </c>
      <c r="D31" s="350"/>
      <c r="E31" s="350"/>
      <c r="F31" s="350"/>
      <c r="G31" s="350">
        <f>SUM(G28:G30)</f>
        <v>1204.056407853584</v>
      </c>
      <c r="H31" s="350"/>
      <c r="I31" s="350"/>
      <c r="J31" s="350">
        <f t="shared" ref="J31:N31" si="1">SUM(J29:J30)</f>
        <v>173.08657642917569</v>
      </c>
      <c r="K31" s="350">
        <f t="shared" si="1"/>
        <v>488.74900106738369</v>
      </c>
      <c r="L31" s="350">
        <f t="shared" si="1"/>
        <v>0</v>
      </c>
      <c r="M31" s="350">
        <f t="shared" si="1"/>
        <v>23.449080848199994</v>
      </c>
      <c r="N31" s="350">
        <f t="shared" si="1"/>
        <v>685.28465834475935</v>
      </c>
    </row>
    <row r="32" spans="2:15" x14ac:dyDescent="0.25">
      <c r="K32" s="578"/>
    </row>
    <row r="37" spans="6:6" x14ac:dyDescent="0.25">
      <c r="F37" s="69" t="s">
        <v>1055</v>
      </c>
    </row>
  </sheetData>
  <mergeCells count="12">
    <mergeCell ref="B26:B27"/>
    <mergeCell ref="C26:F26"/>
    <mergeCell ref="G26:I26"/>
    <mergeCell ref="J26:N26"/>
    <mergeCell ref="B8:B9"/>
    <mergeCell ref="C8:F8"/>
    <mergeCell ref="G8:I8"/>
    <mergeCell ref="J8:N8"/>
    <mergeCell ref="B17:B18"/>
    <mergeCell ref="C17:F17"/>
    <mergeCell ref="G17:I17"/>
    <mergeCell ref="J17:N17"/>
  </mergeCells>
  <pageMargins left="2.2000000000000002" right="0.93" top="0.77" bottom="1" header="0.5" footer="0.5"/>
  <pageSetup paperSize="9" scale="62"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B1:S57"/>
  <sheetViews>
    <sheetView showGridLines="0" view="pageBreakPreview" zoomScale="70" zoomScaleNormal="80" zoomScaleSheetLayoutView="70" workbookViewId="0">
      <pane xSplit="4" ySplit="4" topLeftCell="E26" activePane="bottomRight" state="frozen"/>
      <selection pane="topRight" activeCell="E1" sqref="E1"/>
      <selection pane="bottomLeft" activeCell="A5" sqref="A5"/>
      <selection pane="bottomRight" activeCell="H27" sqref="H27"/>
    </sheetView>
  </sheetViews>
  <sheetFormatPr defaultColWidth="9.36328125" defaultRowHeight="13" x14ac:dyDescent="0.25"/>
  <cols>
    <col min="1" max="1" width="9.36328125" style="71"/>
    <col min="2" max="2" width="5" style="71" customWidth="1"/>
    <col min="3" max="3" width="38.36328125" style="71" customWidth="1"/>
    <col min="4" max="4" width="16.36328125" style="71" customWidth="1"/>
    <col min="5" max="17" width="15.453125" style="71" customWidth="1"/>
    <col min="18" max="16384" width="9.36328125" style="71"/>
  </cols>
  <sheetData>
    <row r="1" spans="2:19" s="182" customFormat="1" x14ac:dyDescent="0.3">
      <c r="B1" s="181"/>
    </row>
    <row r="2" spans="2:19" s="182" customFormat="1" ht="14" x14ac:dyDescent="0.3">
      <c r="C2" s="195"/>
      <c r="D2" s="183"/>
      <c r="E2" s="183"/>
      <c r="F2" s="15" t="str">
        <f>Index!B2</f>
        <v xml:space="preserve">      Maharashtra State Power Generation Company Ltd.</v>
      </c>
      <c r="G2" s="183"/>
      <c r="H2" s="183"/>
      <c r="I2" s="183"/>
      <c r="J2" s="183"/>
      <c r="K2" s="183"/>
      <c r="L2" s="183"/>
      <c r="M2" s="183"/>
    </row>
    <row r="3" spans="2:19" s="182" customFormat="1" ht="14" x14ac:dyDescent="0.3">
      <c r="C3" s="196"/>
      <c r="D3" s="184"/>
      <c r="E3" s="184"/>
      <c r="F3" s="15" t="str">
        <f>Index!B3</f>
        <v>MYT Petition Formats for Bhusawal Unit 3</v>
      </c>
      <c r="G3" s="184"/>
      <c r="H3" s="184"/>
      <c r="I3" s="184"/>
      <c r="J3" s="184"/>
      <c r="K3" s="184"/>
      <c r="L3" s="184"/>
      <c r="M3" s="183"/>
    </row>
    <row r="4" spans="2:19" s="182" customFormat="1" ht="14" x14ac:dyDescent="0.3">
      <c r="C4" s="197"/>
      <c r="D4" s="185"/>
      <c r="E4" s="185"/>
      <c r="F4" s="17" t="s">
        <v>437</v>
      </c>
      <c r="G4" s="185"/>
      <c r="H4" s="185"/>
      <c r="I4" s="185"/>
      <c r="J4" s="185"/>
      <c r="K4" s="185"/>
      <c r="L4" s="185"/>
      <c r="M4" s="185"/>
    </row>
    <row r="6" spans="2:19" x14ac:dyDescent="0.25">
      <c r="B6" s="282" t="s">
        <v>1106</v>
      </c>
      <c r="C6" s="282" t="s">
        <v>505</v>
      </c>
    </row>
    <row r="7" spans="2:19" ht="26" x14ac:dyDescent="0.25">
      <c r="B7" s="186" t="s">
        <v>425</v>
      </c>
      <c r="C7" s="186" t="s">
        <v>38</v>
      </c>
      <c r="D7" s="186" t="s">
        <v>95</v>
      </c>
      <c r="E7" s="688" t="s">
        <v>279</v>
      </c>
      <c r="F7" s="688" t="s">
        <v>280</v>
      </c>
      <c r="G7" s="101" t="s">
        <v>281</v>
      </c>
      <c r="H7" s="101" t="s">
        <v>282</v>
      </c>
      <c r="I7" s="101" t="s">
        <v>283</v>
      </c>
      <c r="J7" s="101" t="s">
        <v>284</v>
      </c>
      <c r="K7" s="101" t="s">
        <v>285</v>
      </c>
      <c r="L7" s="101" t="s">
        <v>286</v>
      </c>
      <c r="M7" s="101" t="s">
        <v>287</v>
      </c>
      <c r="N7" s="101" t="s">
        <v>288</v>
      </c>
      <c r="O7" s="101" t="s">
        <v>289</v>
      </c>
      <c r="P7" s="101" t="s">
        <v>290</v>
      </c>
      <c r="Q7" s="187" t="s">
        <v>271</v>
      </c>
      <c r="R7" s="307"/>
    </row>
    <row r="8" spans="2:19" x14ac:dyDescent="0.25">
      <c r="B8" s="188">
        <v>1</v>
      </c>
      <c r="C8" s="189" t="s">
        <v>362</v>
      </c>
      <c r="D8" s="188" t="s">
        <v>100</v>
      </c>
      <c r="E8" s="745">
        <v>0.8</v>
      </c>
      <c r="F8" s="745">
        <v>0.8</v>
      </c>
      <c r="G8" s="745">
        <v>0.8</v>
      </c>
      <c r="H8" s="745">
        <v>0.8</v>
      </c>
      <c r="I8" s="745">
        <v>0.8</v>
      </c>
      <c r="J8" s="745">
        <v>0.8</v>
      </c>
      <c r="K8" s="745">
        <v>0.8</v>
      </c>
      <c r="L8" s="745">
        <v>0.8</v>
      </c>
      <c r="M8" s="745">
        <v>0.8</v>
      </c>
      <c r="N8" s="745">
        <v>0.8</v>
      </c>
      <c r="O8" s="745">
        <v>0.8</v>
      </c>
      <c r="P8" s="745">
        <v>0.8</v>
      </c>
      <c r="Q8" s="745">
        <f>AVERAGE(E8:P8)</f>
        <v>0.79999999999999993</v>
      </c>
      <c r="R8" s="307"/>
      <c r="S8" s="308"/>
    </row>
    <row r="9" spans="2:19" x14ac:dyDescent="0.25">
      <c r="B9" s="188">
        <f>B8+1</f>
        <v>2</v>
      </c>
      <c r="C9" s="189" t="s">
        <v>426</v>
      </c>
      <c r="D9" s="188" t="s">
        <v>100</v>
      </c>
      <c r="E9" s="558"/>
      <c r="F9" s="558"/>
      <c r="G9" s="558"/>
      <c r="H9" s="558"/>
      <c r="I9" s="558"/>
      <c r="J9" s="558"/>
      <c r="K9" s="558"/>
      <c r="L9" s="558"/>
      <c r="M9" s="558"/>
      <c r="N9" s="558"/>
      <c r="O9" s="558"/>
      <c r="P9" s="558"/>
      <c r="Q9" s="559"/>
    </row>
    <row r="10" spans="2:19" x14ac:dyDescent="0.25">
      <c r="B10" s="188">
        <f t="shared" ref="B10:B27" si="0">B9+1</f>
        <v>3</v>
      </c>
      <c r="C10" s="189" t="s">
        <v>427</v>
      </c>
      <c r="D10" s="188" t="s">
        <v>100</v>
      </c>
      <c r="E10" s="557"/>
      <c r="F10" s="557"/>
      <c r="G10" s="557"/>
      <c r="H10" s="557"/>
      <c r="I10" s="557"/>
      <c r="J10" s="557"/>
      <c r="K10" s="557"/>
      <c r="L10" s="557"/>
      <c r="M10" s="557"/>
      <c r="N10" s="557"/>
      <c r="O10" s="557"/>
      <c r="P10" s="557"/>
      <c r="Q10" s="557"/>
    </row>
    <row r="11" spans="2:19" x14ac:dyDescent="0.25">
      <c r="B11" s="188">
        <f t="shared" si="0"/>
        <v>4</v>
      </c>
      <c r="C11" s="189" t="s">
        <v>101</v>
      </c>
      <c r="D11" s="188" t="s">
        <v>100</v>
      </c>
      <c r="E11" s="745">
        <v>0.85</v>
      </c>
      <c r="F11" s="745">
        <v>0.85</v>
      </c>
      <c r="G11" s="745">
        <v>0.85</v>
      </c>
      <c r="H11" s="745">
        <v>0.85</v>
      </c>
      <c r="I11" s="745">
        <v>0.85</v>
      </c>
      <c r="J11" s="745">
        <v>0.85</v>
      </c>
      <c r="K11" s="745">
        <v>0.85</v>
      </c>
      <c r="L11" s="745">
        <v>0.85</v>
      </c>
      <c r="M11" s="745">
        <v>0.85</v>
      </c>
      <c r="N11" s="745">
        <v>0.85</v>
      </c>
      <c r="O11" s="745">
        <v>0.85</v>
      </c>
      <c r="P11" s="745">
        <v>0.85</v>
      </c>
      <c r="Q11" s="745">
        <f>AVERAGE(E11:P11)</f>
        <v>0.84999999999999976</v>
      </c>
    </row>
    <row r="12" spans="2:19" x14ac:dyDescent="0.25">
      <c r="B12" s="188">
        <f t="shared" si="0"/>
        <v>5</v>
      </c>
      <c r="C12" s="189" t="s">
        <v>428</v>
      </c>
      <c r="D12" s="188" t="s">
        <v>100</v>
      </c>
      <c r="E12" s="557"/>
      <c r="F12" s="557"/>
      <c r="G12" s="557"/>
      <c r="H12" s="557"/>
      <c r="I12" s="557"/>
      <c r="J12" s="557"/>
      <c r="K12" s="557"/>
      <c r="L12" s="557"/>
      <c r="M12" s="557"/>
      <c r="N12" s="557"/>
      <c r="O12" s="557"/>
      <c r="P12" s="557"/>
      <c r="Q12" s="557"/>
    </row>
    <row r="13" spans="2:19" x14ac:dyDescent="0.25">
      <c r="B13" s="188">
        <f t="shared" si="0"/>
        <v>6</v>
      </c>
      <c r="C13" s="189" t="s">
        <v>429</v>
      </c>
      <c r="D13" s="188" t="s">
        <v>100</v>
      </c>
      <c r="E13" s="557"/>
      <c r="F13" s="557"/>
      <c r="G13" s="557"/>
      <c r="H13" s="557"/>
      <c r="I13" s="557"/>
      <c r="J13" s="557"/>
      <c r="K13" s="557"/>
      <c r="L13" s="557"/>
      <c r="M13" s="557"/>
      <c r="N13" s="557"/>
      <c r="O13" s="557"/>
      <c r="P13" s="557"/>
      <c r="Q13" s="557"/>
    </row>
    <row r="14" spans="2:19" x14ac:dyDescent="0.25">
      <c r="B14" s="188">
        <f t="shared" si="0"/>
        <v>7</v>
      </c>
      <c r="C14" s="190" t="s">
        <v>430</v>
      </c>
      <c r="D14" s="193" t="s">
        <v>102</v>
      </c>
      <c r="E14" s="466">
        <v>78.692999999999998</v>
      </c>
      <c r="F14" s="466">
        <v>81.95</v>
      </c>
      <c r="G14" s="466">
        <v>95.644999999999996</v>
      </c>
      <c r="H14" s="466">
        <v>44.113999999999997</v>
      </c>
      <c r="I14" s="466">
        <v>19.376000000000001</v>
      </c>
      <c r="J14" s="466">
        <v>60.29</v>
      </c>
      <c r="K14" s="466">
        <v>32.533999999999999</v>
      </c>
      <c r="L14" s="466">
        <v>0</v>
      </c>
      <c r="M14" s="466">
        <v>32.448999999999998</v>
      </c>
      <c r="N14" s="466">
        <v>75.075000000000003</v>
      </c>
      <c r="O14" s="466">
        <v>94.495000000000005</v>
      </c>
      <c r="P14" s="466">
        <v>100.905</v>
      </c>
      <c r="Q14" s="466">
        <f>SUM(E14:P14)</f>
        <v>715.52599999999995</v>
      </c>
    </row>
    <row r="15" spans="2:19" x14ac:dyDescent="0.25">
      <c r="B15" s="188">
        <f t="shared" si="0"/>
        <v>8</v>
      </c>
      <c r="C15" s="190" t="s">
        <v>431</v>
      </c>
      <c r="D15" s="193" t="s">
        <v>102</v>
      </c>
      <c r="E15" s="466">
        <v>10.542</v>
      </c>
      <c r="F15" s="466">
        <v>11.584</v>
      </c>
      <c r="G15" s="466">
        <v>12.824999999999999</v>
      </c>
      <c r="H15" s="466">
        <v>7.2768105099999998</v>
      </c>
      <c r="I15" s="466">
        <v>4.879022</v>
      </c>
      <c r="J15" s="466">
        <v>9.7173400000000001</v>
      </c>
      <c r="K15" s="466">
        <v>6.0755161600000003</v>
      </c>
      <c r="L15" s="466">
        <v>0.88900000000000001</v>
      </c>
      <c r="M15" s="466">
        <v>5.6402000000000001</v>
      </c>
      <c r="N15" s="466">
        <v>11.068</v>
      </c>
      <c r="O15" s="466">
        <v>11.593999999999999</v>
      </c>
      <c r="P15" s="466">
        <v>12.121180000000001</v>
      </c>
      <c r="Q15" s="466">
        <f>SUM(E15:P15)</f>
        <v>104.21206866999998</v>
      </c>
    </row>
    <row r="16" spans="2:19" x14ac:dyDescent="0.25">
      <c r="B16" s="188">
        <f t="shared" si="0"/>
        <v>9</v>
      </c>
      <c r="C16" s="190" t="s">
        <v>470</v>
      </c>
      <c r="D16" s="193" t="s">
        <v>102</v>
      </c>
      <c r="E16" s="466">
        <v>67.061897000000002</v>
      </c>
      <c r="F16" s="466">
        <v>70.185860000000005</v>
      </c>
      <c r="G16" s="466">
        <v>83.139387999999997</v>
      </c>
      <c r="H16" s="466">
        <v>39.211682000000003</v>
      </c>
      <c r="I16" s="466">
        <v>19.380879</v>
      </c>
      <c r="J16" s="466">
        <v>55.600782000000002</v>
      </c>
      <c r="K16" s="466">
        <v>29.823609000000001</v>
      </c>
      <c r="L16" s="466">
        <v>0</v>
      </c>
      <c r="M16" s="466">
        <v>29.679041000000002</v>
      </c>
      <c r="N16" s="466">
        <v>67.437341000000004</v>
      </c>
      <c r="O16" s="466">
        <v>87.242019999999997</v>
      </c>
      <c r="P16" s="466">
        <v>91.531834000000003</v>
      </c>
      <c r="Q16" s="466">
        <f>SUM(E16:P16)</f>
        <v>640.29433299999994</v>
      </c>
    </row>
    <row r="17" spans="2:19" x14ac:dyDescent="0.25">
      <c r="B17" s="188">
        <f t="shared" si="0"/>
        <v>10</v>
      </c>
      <c r="C17" s="190" t="s">
        <v>475</v>
      </c>
      <c r="D17" s="193" t="s">
        <v>102</v>
      </c>
      <c r="E17" s="466"/>
      <c r="F17" s="466"/>
      <c r="G17" s="466"/>
      <c r="H17" s="466"/>
      <c r="I17" s="466"/>
      <c r="J17" s="466"/>
      <c r="K17" s="466"/>
      <c r="L17" s="466"/>
      <c r="M17" s="466"/>
      <c r="N17" s="466"/>
      <c r="O17" s="466"/>
      <c r="P17" s="466"/>
      <c r="Q17" s="466">
        <f>SUM(E17:P17)</f>
        <v>0</v>
      </c>
    </row>
    <row r="18" spans="2:19" x14ac:dyDescent="0.25">
      <c r="B18" s="188">
        <f t="shared" si="0"/>
        <v>11</v>
      </c>
      <c r="C18" s="190" t="s">
        <v>432</v>
      </c>
      <c r="D18" s="193" t="s">
        <v>440</v>
      </c>
      <c r="E18" s="466">
        <f>E22/E16*10</f>
        <v>4.1019999926336714</v>
      </c>
      <c r="F18" s="466">
        <f t="shared" ref="F18:P18" si="1">F22/F16*10</f>
        <v>4.1020000039894073</v>
      </c>
      <c r="G18" s="466">
        <f t="shared" si="1"/>
        <v>4.1020000050998693</v>
      </c>
      <c r="H18" s="466">
        <f t="shared" si="1"/>
        <v>4.1020000111191344</v>
      </c>
      <c r="I18" s="466">
        <f t="shared" si="1"/>
        <v>4.1020000176462581</v>
      </c>
      <c r="J18" s="466">
        <f t="shared" si="1"/>
        <v>4.1020000042445446</v>
      </c>
      <c r="K18" s="466">
        <f t="shared" si="1"/>
        <v>4.1019999960434035</v>
      </c>
      <c r="L18" s="466">
        <f>IFERROR(L22/L16*10,0)</f>
        <v>0</v>
      </c>
      <c r="M18" s="466">
        <f t="shared" si="1"/>
        <v>4.1019999938677261</v>
      </c>
      <c r="N18" s="466">
        <f t="shared" si="1"/>
        <v>4.1020000032326305</v>
      </c>
      <c r="O18" s="466">
        <f t="shared" si="1"/>
        <v>4.1019999995415057</v>
      </c>
      <c r="P18" s="466">
        <f t="shared" si="1"/>
        <v>4.1019999992570888</v>
      </c>
      <c r="Q18" s="466">
        <f>Q22/Q16*10</f>
        <v>4.1020000016148828</v>
      </c>
    </row>
    <row r="19" spans="2:19" x14ac:dyDescent="0.25">
      <c r="B19" s="188">
        <f t="shared" si="0"/>
        <v>12</v>
      </c>
      <c r="C19" s="190" t="s">
        <v>476</v>
      </c>
      <c r="D19" s="193" t="s">
        <v>441</v>
      </c>
      <c r="E19" s="466">
        <v>11.503795199999999</v>
      </c>
      <c r="F19" s="466">
        <v>11.503795199999999</v>
      </c>
      <c r="G19" s="466">
        <v>11.503795199999999</v>
      </c>
      <c r="H19" s="466">
        <v>11.503795199999999</v>
      </c>
      <c r="I19" s="466">
        <v>11.503795199999999</v>
      </c>
      <c r="J19" s="466">
        <v>11.503795199999999</v>
      </c>
      <c r="K19" s="466">
        <v>11.503795199999999</v>
      </c>
      <c r="L19" s="466">
        <v>11.503795199999999</v>
      </c>
      <c r="M19" s="466">
        <v>11.503795199999999</v>
      </c>
      <c r="N19" s="466">
        <v>11.503795199999999</v>
      </c>
      <c r="O19" s="466">
        <v>11.503795199999999</v>
      </c>
      <c r="P19" s="466">
        <v>11.503795199999999</v>
      </c>
      <c r="Q19" s="466">
        <f>SUM(E19:P19)</f>
        <v>138.04554239999999</v>
      </c>
    </row>
    <row r="20" spans="2:19" x14ac:dyDescent="0.25">
      <c r="B20" s="188">
        <f t="shared" si="0"/>
        <v>13</v>
      </c>
      <c r="C20" s="190" t="s">
        <v>477</v>
      </c>
      <c r="D20" s="193" t="s">
        <v>440</v>
      </c>
      <c r="E20" s="466">
        <f>E23*10/E16</f>
        <v>-0.15800000000000036</v>
      </c>
      <c r="F20" s="466">
        <f t="shared" ref="F20:P20" si="2">F23*10/F16</f>
        <v>-0.17400000000000038</v>
      </c>
      <c r="G20" s="466">
        <f t="shared" si="2"/>
        <v>0.86299999999999966</v>
      </c>
      <c r="H20" s="466">
        <f t="shared" si="2"/>
        <v>1.4790000000000001</v>
      </c>
      <c r="I20" s="466">
        <f t="shared" si="2"/>
        <v>1.5309999999999997</v>
      </c>
      <c r="J20" s="466">
        <f t="shared" si="2"/>
        <v>1.8759999999999997</v>
      </c>
      <c r="K20" s="466">
        <f t="shared" si="2"/>
        <v>2.0519999999999996</v>
      </c>
      <c r="L20" s="466">
        <f>IFERROR(L23*10/L16,0)</f>
        <v>0</v>
      </c>
      <c r="M20" s="466">
        <f t="shared" si="2"/>
        <v>0.78399999999999981</v>
      </c>
      <c r="N20" s="466">
        <f t="shared" si="2"/>
        <v>0.92099999999999949</v>
      </c>
      <c r="O20" s="466">
        <f t="shared" si="2"/>
        <v>0.90599999999999958</v>
      </c>
      <c r="P20" s="466">
        <f t="shared" si="2"/>
        <v>0.43100000000000005</v>
      </c>
      <c r="Q20" s="466">
        <f>Q23*10/Q16</f>
        <v>0.79023366646601245</v>
      </c>
    </row>
    <row r="21" spans="2:19" x14ac:dyDescent="0.25">
      <c r="B21" s="188">
        <f t="shared" si="0"/>
        <v>14</v>
      </c>
      <c r="C21" s="190" t="s">
        <v>433</v>
      </c>
      <c r="D21" s="193" t="s">
        <v>441</v>
      </c>
      <c r="E21" s="466">
        <v>8.2947662999999991</v>
      </c>
      <c r="F21" s="466">
        <v>8.5282669999999996</v>
      </c>
      <c r="G21" s="466">
        <v>10.7566805</v>
      </c>
      <c r="H21" s="466">
        <v>4.8387540999999992</v>
      </c>
      <c r="I21" s="466">
        <v>2.3324177000000033</v>
      </c>
      <c r="J21" s="466">
        <v>8.9429287999999953</v>
      </c>
      <c r="K21" s="466">
        <v>10.639605599999999</v>
      </c>
      <c r="L21" s="466">
        <v>12.191820999999996</v>
      </c>
      <c r="M21" s="466">
        <v>9.8418870999999992</v>
      </c>
      <c r="N21" s="466">
        <v>9.7814027999999968</v>
      </c>
      <c r="O21" s="466">
        <v>12.616087499999999</v>
      </c>
      <c r="P21" s="466">
        <v>13.2765805</v>
      </c>
      <c r="Q21" s="466">
        <f>SUM(E21:P21)</f>
        <v>112.04119889999996</v>
      </c>
    </row>
    <row r="22" spans="2:19" x14ac:dyDescent="0.25">
      <c r="B22" s="188">
        <f t="shared" si="0"/>
        <v>15</v>
      </c>
      <c r="C22" s="190" t="s">
        <v>434</v>
      </c>
      <c r="D22" s="193" t="s">
        <v>441</v>
      </c>
      <c r="E22" s="466">
        <v>27.508790100000002</v>
      </c>
      <c r="F22" s="466">
        <v>28.790239799999998</v>
      </c>
      <c r="G22" s="466">
        <v>34.103777000000001</v>
      </c>
      <c r="H22" s="466">
        <v>16.084631999999999</v>
      </c>
      <c r="I22" s="466">
        <v>7.9500365999999998</v>
      </c>
      <c r="J22" s="466">
        <v>22.807440799999998</v>
      </c>
      <c r="K22" s="466">
        <v>12.233644400000001</v>
      </c>
      <c r="L22" s="466">
        <v>0</v>
      </c>
      <c r="M22" s="466">
        <v>12.174342599999999</v>
      </c>
      <c r="N22" s="466">
        <v>27.662797300000001</v>
      </c>
      <c r="O22" s="466">
        <v>35.7866766</v>
      </c>
      <c r="P22" s="466">
        <v>37.546358300000001</v>
      </c>
      <c r="Q22" s="466">
        <f t="shared" ref="Q22:Q27" si="3">SUM(E22:P22)</f>
        <v>262.64873549999999</v>
      </c>
    </row>
    <row r="23" spans="2:19" x14ac:dyDescent="0.25">
      <c r="B23" s="188">
        <f t="shared" si="0"/>
        <v>16</v>
      </c>
      <c r="C23" s="190" t="s">
        <v>478</v>
      </c>
      <c r="D23" s="193" t="s">
        <v>441</v>
      </c>
      <c r="E23" s="466">
        <v>-1.0595779726000025</v>
      </c>
      <c r="F23" s="466">
        <v>-1.2212339640000027</v>
      </c>
      <c r="G23" s="466">
        <v>7.1749291843999963</v>
      </c>
      <c r="H23" s="466">
        <v>5.7994077678000009</v>
      </c>
      <c r="I23" s="466">
        <v>2.9672125748999996</v>
      </c>
      <c r="J23" s="466">
        <v>10.430706703199998</v>
      </c>
      <c r="K23" s="466">
        <v>6.1198045667999983</v>
      </c>
      <c r="L23" s="466">
        <v>0</v>
      </c>
      <c r="M23" s="466">
        <v>2.3268368143999996</v>
      </c>
      <c r="N23" s="466">
        <v>6.2109791060999964</v>
      </c>
      <c r="O23" s="466">
        <v>7.9041270119999965</v>
      </c>
      <c r="P23" s="466">
        <v>3.9450220454000005</v>
      </c>
      <c r="Q23" s="466">
        <f>SUM(E23:P23)</f>
        <v>50.598213838399985</v>
      </c>
    </row>
    <row r="24" spans="2:19" x14ac:dyDescent="0.25">
      <c r="B24" s="188">
        <f t="shared" si="0"/>
        <v>17</v>
      </c>
      <c r="C24" s="190" t="s">
        <v>1148</v>
      </c>
      <c r="D24" s="193" t="s">
        <v>441</v>
      </c>
      <c r="E24" s="466">
        <v>0.20153660583333333</v>
      </c>
      <c r="F24" s="466">
        <v>0.20153660583333333</v>
      </c>
      <c r="G24" s="466">
        <v>0.20153660583333333</v>
      </c>
      <c r="H24" s="466">
        <v>0.20153660583333333</v>
      </c>
      <c r="I24" s="466">
        <v>0.20153660583333333</v>
      </c>
      <c r="J24" s="466">
        <v>0.20153660583333333</v>
      </c>
      <c r="K24" s="466">
        <v>0.20153660583333333</v>
      </c>
      <c r="L24" s="466">
        <v>0.20153660583333333</v>
      </c>
      <c r="M24" s="466">
        <v>0.20153660583333333</v>
      </c>
      <c r="N24" s="466">
        <v>0.20153660583333333</v>
      </c>
      <c r="O24" s="466">
        <v>0.20153660583333333</v>
      </c>
      <c r="P24" s="466">
        <v>0.20153660583333333</v>
      </c>
      <c r="Q24" s="466">
        <f t="shared" si="3"/>
        <v>2.418439269999999</v>
      </c>
    </row>
    <row r="25" spans="2:19" x14ac:dyDescent="0.25">
      <c r="B25" s="188">
        <f t="shared" si="0"/>
        <v>18</v>
      </c>
      <c r="C25" s="467" t="s">
        <v>1118</v>
      </c>
      <c r="D25" s="468" t="s">
        <v>441</v>
      </c>
      <c r="E25" s="466">
        <v>-0.49858044166666676</v>
      </c>
      <c r="F25" s="466">
        <v>-0.49858044166666676</v>
      </c>
      <c r="G25" s="466">
        <v>-0.49858044166666676</v>
      </c>
      <c r="H25" s="466">
        <v>-0.49858044166666676</v>
      </c>
      <c r="I25" s="466">
        <v>-0.49858044166666676</v>
      </c>
      <c r="J25" s="466">
        <v>-0.49858044166666676</v>
      </c>
      <c r="K25" s="466">
        <v>-0.49858044166666676</v>
      </c>
      <c r="L25" s="466">
        <v>-0.49858044166666676</v>
      </c>
      <c r="M25" s="466">
        <v>-0.49858044166666676</v>
      </c>
      <c r="N25" s="466">
        <v>-0.49858044166666676</v>
      </c>
      <c r="O25" s="466">
        <v>-0.49858044166666676</v>
      </c>
      <c r="P25" s="466">
        <v>-0.49858044166666676</v>
      </c>
      <c r="Q25" s="466">
        <f t="shared" si="3"/>
        <v>-5.9829653</v>
      </c>
    </row>
    <row r="26" spans="2:19" x14ac:dyDescent="0.25">
      <c r="B26" s="188">
        <f t="shared" si="0"/>
        <v>19</v>
      </c>
      <c r="C26" s="191" t="s">
        <v>435</v>
      </c>
      <c r="D26" s="193" t="s">
        <v>441</v>
      </c>
      <c r="E26" s="352">
        <f t="shared" ref="E26:Q26" si="4">SUM(E21:E25)</f>
        <v>34.446934591566666</v>
      </c>
      <c r="F26" s="352">
        <f t="shared" si="4"/>
        <v>35.800229000166659</v>
      </c>
      <c r="G26" s="352">
        <f t="shared" si="4"/>
        <v>51.73834284856666</v>
      </c>
      <c r="H26" s="352">
        <f t="shared" si="4"/>
        <v>26.425750031966665</v>
      </c>
      <c r="I26" s="352">
        <f t="shared" si="4"/>
        <v>12.952623039066669</v>
      </c>
      <c r="J26" s="352">
        <f t="shared" si="4"/>
        <v>41.884032467366652</v>
      </c>
      <c r="K26" s="352">
        <f t="shared" si="4"/>
        <v>28.696010730966663</v>
      </c>
      <c r="L26" s="352">
        <f t="shared" si="4"/>
        <v>11.894777164166662</v>
      </c>
      <c r="M26" s="352">
        <f t="shared" si="4"/>
        <v>24.046022678566661</v>
      </c>
      <c r="N26" s="352">
        <f t="shared" si="4"/>
        <v>43.358135370266659</v>
      </c>
      <c r="O26" s="352">
        <f t="shared" si="4"/>
        <v>56.00984727616666</v>
      </c>
      <c r="P26" s="352">
        <f t="shared" si="4"/>
        <v>54.470917009566669</v>
      </c>
      <c r="Q26" s="352">
        <f t="shared" si="4"/>
        <v>421.7236222084</v>
      </c>
    </row>
    <row r="27" spans="2:19" x14ac:dyDescent="0.25">
      <c r="B27" s="188">
        <f t="shared" si="0"/>
        <v>20</v>
      </c>
      <c r="C27" s="192" t="s">
        <v>436</v>
      </c>
      <c r="D27" s="193"/>
      <c r="E27" s="466"/>
      <c r="F27" s="466"/>
      <c r="G27" s="466"/>
      <c r="H27" s="466"/>
      <c r="I27" s="466"/>
      <c r="J27" s="466"/>
      <c r="K27" s="466"/>
      <c r="L27" s="466"/>
      <c r="M27" s="466"/>
      <c r="N27" s="466"/>
      <c r="O27" s="466"/>
      <c r="P27" s="466"/>
      <c r="Q27" s="466">
        <f t="shared" si="3"/>
        <v>0</v>
      </c>
    </row>
    <row r="28" spans="2:19" x14ac:dyDescent="0.25">
      <c r="B28" s="188">
        <v>21</v>
      </c>
      <c r="C28" s="190" t="s">
        <v>1148</v>
      </c>
      <c r="D28" s="193" t="s">
        <v>441</v>
      </c>
      <c r="E28" s="466">
        <f t="shared" ref="E28:P28" si="5">E24</f>
        <v>0.20153660583333333</v>
      </c>
      <c r="F28" s="466">
        <f t="shared" si="5"/>
        <v>0.20153660583333333</v>
      </c>
      <c r="G28" s="466">
        <f t="shared" si="5"/>
        <v>0.20153660583333333</v>
      </c>
      <c r="H28" s="466">
        <f t="shared" si="5"/>
        <v>0.20153660583333333</v>
      </c>
      <c r="I28" s="466">
        <f t="shared" si="5"/>
        <v>0.20153660583333333</v>
      </c>
      <c r="J28" s="466">
        <f t="shared" si="5"/>
        <v>0.20153660583333333</v>
      </c>
      <c r="K28" s="466">
        <f t="shared" si="5"/>
        <v>0.20153660583333333</v>
      </c>
      <c r="L28" s="466">
        <f t="shared" si="5"/>
        <v>0.20153660583333333</v>
      </c>
      <c r="M28" s="466">
        <f t="shared" si="5"/>
        <v>0.20153660583333333</v>
      </c>
      <c r="N28" s="466">
        <f t="shared" si="5"/>
        <v>0.20153660583333333</v>
      </c>
      <c r="O28" s="466">
        <f t="shared" si="5"/>
        <v>0.20153660583333333</v>
      </c>
      <c r="P28" s="466">
        <f t="shared" si="5"/>
        <v>0.20153660583333333</v>
      </c>
      <c r="Q28" s="466">
        <f t="shared" ref="Q28" si="6">SUM(E28:P28)</f>
        <v>2.418439269999999</v>
      </c>
    </row>
    <row r="29" spans="2:19" x14ac:dyDescent="0.25">
      <c r="B29" s="193">
        <v>22</v>
      </c>
      <c r="C29" s="194" t="s">
        <v>351</v>
      </c>
      <c r="D29" s="193" t="s">
        <v>441</v>
      </c>
      <c r="E29" s="466">
        <f>SUM(E26:E27)-E28</f>
        <v>34.245397985733334</v>
      </c>
      <c r="F29" s="466">
        <f>SUM(F26:F27)-F28</f>
        <v>35.598692394333327</v>
      </c>
      <c r="G29" s="466">
        <f t="shared" ref="G29:P29" si="7">SUM(G26:G27)-G28</f>
        <v>51.536806242733327</v>
      </c>
      <c r="H29" s="466">
        <f t="shared" si="7"/>
        <v>26.224213426133332</v>
      </c>
      <c r="I29" s="466">
        <f t="shared" si="7"/>
        <v>12.751086433233336</v>
      </c>
      <c r="J29" s="466">
        <f t="shared" si="7"/>
        <v>41.682495861533319</v>
      </c>
      <c r="K29" s="466">
        <f t="shared" si="7"/>
        <v>28.49447412513333</v>
      </c>
      <c r="L29" s="466">
        <f t="shared" si="7"/>
        <v>11.693240558333329</v>
      </c>
      <c r="M29" s="466">
        <f t="shared" si="7"/>
        <v>23.844486072733329</v>
      </c>
      <c r="N29" s="466">
        <f t="shared" si="7"/>
        <v>43.156598764433326</v>
      </c>
      <c r="O29" s="466">
        <f t="shared" si="7"/>
        <v>55.808310670333327</v>
      </c>
      <c r="P29" s="466">
        <f t="shared" si="7"/>
        <v>54.269380403733336</v>
      </c>
      <c r="Q29" s="352">
        <f>SUM(Q26:Q27)-Q28</f>
        <v>419.30518293839998</v>
      </c>
      <c r="R29" s="453">
        <f>Q29-'F9'!N13</f>
        <v>0</v>
      </c>
      <c r="S29" s="453"/>
    </row>
    <row r="30" spans="2:19" x14ac:dyDescent="0.25">
      <c r="B30" s="193">
        <f>B29+1</f>
        <v>23</v>
      </c>
      <c r="C30" s="194" t="s">
        <v>442</v>
      </c>
      <c r="D30" s="193" t="s">
        <v>441</v>
      </c>
      <c r="E30" s="466">
        <f>E29</f>
        <v>34.245397985733334</v>
      </c>
      <c r="F30" s="466">
        <f t="shared" ref="F30:P30" si="8">F29</f>
        <v>35.598692394333327</v>
      </c>
      <c r="G30" s="466">
        <f t="shared" si="8"/>
        <v>51.536806242733327</v>
      </c>
      <c r="H30" s="466">
        <f t="shared" si="8"/>
        <v>26.224213426133332</v>
      </c>
      <c r="I30" s="466">
        <f t="shared" si="8"/>
        <v>12.751086433233336</v>
      </c>
      <c r="J30" s="466">
        <f t="shared" si="8"/>
        <v>41.682495861533319</v>
      </c>
      <c r="K30" s="466">
        <f t="shared" si="8"/>
        <v>28.49447412513333</v>
      </c>
      <c r="L30" s="466">
        <f t="shared" si="8"/>
        <v>11.693240558333329</v>
      </c>
      <c r="M30" s="466">
        <f t="shared" si="8"/>
        <v>23.844486072733329</v>
      </c>
      <c r="N30" s="466">
        <f t="shared" si="8"/>
        <v>43.156598764433326</v>
      </c>
      <c r="O30" s="466">
        <f t="shared" si="8"/>
        <v>55.808310670333327</v>
      </c>
      <c r="P30" s="466">
        <f t="shared" si="8"/>
        <v>54.269380403733336</v>
      </c>
      <c r="Q30" s="352">
        <f>Q29</f>
        <v>419.30518293839998</v>
      </c>
    </row>
    <row r="31" spans="2:19" x14ac:dyDescent="0.25">
      <c r="B31" s="700"/>
      <c r="C31" s="701"/>
      <c r="D31" s="700"/>
      <c r="E31" s="702"/>
      <c r="F31" s="702"/>
      <c r="G31" s="702"/>
      <c r="H31" s="702"/>
      <c r="I31" s="702"/>
      <c r="J31" s="702"/>
      <c r="K31" s="702"/>
      <c r="L31" s="702"/>
      <c r="M31" s="702"/>
      <c r="N31" s="702"/>
      <c r="O31" s="702"/>
      <c r="P31" s="702"/>
      <c r="Q31" s="703"/>
    </row>
    <row r="32" spans="2:19" x14ac:dyDescent="0.25">
      <c r="B32" s="198" t="s">
        <v>1106</v>
      </c>
      <c r="C32" s="198" t="s">
        <v>506</v>
      </c>
    </row>
    <row r="33" spans="2:17" ht="26" x14ac:dyDescent="0.25">
      <c r="B33" s="186" t="s">
        <v>425</v>
      </c>
      <c r="C33" s="186" t="s">
        <v>38</v>
      </c>
      <c r="D33" s="186" t="s">
        <v>95</v>
      </c>
      <c r="E33" s="205" t="s">
        <v>279</v>
      </c>
      <c r="F33" s="205" t="s">
        <v>280</v>
      </c>
      <c r="G33" s="101" t="s">
        <v>281</v>
      </c>
      <c r="H33" s="101" t="s">
        <v>282</v>
      </c>
      <c r="I33" s="101" t="s">
        <v>283</v>
      </c>
      <c r="J33" s="101" t="s">
        <v>284</v>
      </c>
      <c r="K33" s="101" t="s">
        <v>285</v>
      </c>
      <c r="L33" s="101" t="s">
        <v>286</v>
      </c>
      <c r="M33" s="101" t="s">
        <v>287</v>
      </c>
      <c r="N33" s="101" t="s">
        <v>288</v>
      </c>
      <c r="O33" s="101" t="s">
        <v>289</v>
      </c>
      <c r="P33" s="101" t="s">
        <v>290</v>
      </c>
      <c r="Q33" s="187" t="s">
        <v>271</v>
      </c>
    </row>
    <row r="34" spans="2:17" x14ac:dyDescent="0.25">
      <c r="B34" s="188">
        <v>1</v>
      </c>
      <c r="C34" s="189" t="s">
        <v>362</v>
      </c>
      <c r="D34" s="188" t="s">
        <v>100</v>
      </c>
      <c r="E34" s="1109">
        <v>0.8</v>
      </c>
      <c r="F34" s="1109">
        <v>0.8</v>
      </c>
      <c r="G34" s="1109">
        <v>0.8</v>
      </c>
      <c r="H34" s="1109">
        <v>0.8</v>
      </c>
      <c r="I34" s="1109">
        <v>0.8</v>
      </c>
      <c r="J34" s="1109">
        <v>0.8</v>
      </c>
      <c r="K34" s="1109">
        <v>0.8</v>
      </c>
      <c r="L34" s="1109">
        <v>0.8</v>
      </c>
      <c r="M34" s="1109">
        <v>0.8</v>
      </c>
      <c r="N34" s="1109">
        <v>0.8</v>
      </c>
      <c r="O34" s="1109">
        <v>0.8</v>
      </c>
      <c r="P34" s="1109">
        <v>0.8</v>
      </c>
      <c r="Q34" s="745">
        <f>AVERAGE(E34:P34)</f>
        <v>0.79999999999999993</v>
      </c>
    </row>
    <row r="35" spans="2:17" x14ac:dyDescent="0.25">
      <c r="B35" s="188">
        <f>B34+1</f>
        <v>2</v>
      </c>
      <c r="C35" s="189" t="s">
        <v>426</v>
      </c>
      <c r="D35" s="188" t="s">
        <v>100</v>
      </c>
      <c r="E35" s="1110"/>
      <c r="F35" s="1110"/>
      <c r="G35" s="1110"/>
      <c r="H35" s="1110"/>
      <c r="I35" s="1110"/>
      <c r="J35" s="1110"/>
      <c r="K35" s="1110"/>
      <c r="L35" s="1110"/>
      <c r="M35" s="1110"/>
      <c r="N35" s="1110"/>
      <c r="O35" s="1110"/>
      <c r="P35" s="1110"/>
      <c r="Q35" s="559"/>
    </row>
    <row r="36" spans="2:17" x14ac:dyDescent="0.25">
      <c r="B36" s="188">
        <f>B35+1</f>
        <v>3</v>
      </c>
      <c r="C36" s="189" t="s">
        <v>427</v>
      </c>
      <c r="D36" s="188" t="s">
        <v>100</v>
      </c>
      <c r="E36" s="1109"/>
      <c r="F36" s="1109"/>
      <c r="G36" s="1109"/>
      <c r="H36" s="1109"/>
      <c r="I36" s="1109"/>
      <c r="J36" s="1109"/>
      <c r="K36" s="1109"/>
      <c r="L36" s="1109"/>
      <c r="M36" s="1109"/>
      <c r="N36" s="1109"/>
      <c r="O36" s="1109"/>
      <c r="P36" s="1109"/>
      <c r="Q36" s="557"/>
    </row>
    <row r="37" spans="2:17" x14ac:dyDescent="0.25">
      <c r="B37" s="188">
        <f t="shared" ref="B37:B54" si="9">B36+1</f>
        <v>4</v>
      </c>
      <c r="C37" s="189" t="s">
        <v>101</v>
      </c>
      <c r="D37" s="188" t="s">
        <v>100</v>
      </c>
      <c r="E37" s="1109">
        <v>0.85</v>
      </c>
      <c r="F37" s="1109">
        <v>0.85</v>
      </c>
      <c r="G37" s="1109">
        <v>0.85</v>
      </c>
      <c r="H37" s="1109">
        <v>0.85</v>
      </c>
      <c r="I37" s="1109">
        <v>0.85</v>
      </c>
      <c r="J37" s="1109">
        <v>0.85</v>
      </c>
      <c r="K37" s="1109">
        <v>0.85</v>
      </c>
      <c r="L37" s="1109">
        <v>0.85</v>
      </c>
      <c r="M37" s="1109">
        <v>0.85</v>
      </c>
      <c r="N37" s="1109">
        <v>0.85</v>
      </c>
      <c r="O37" s="1109">
        <v>0.85</v>
      </c>
      <c r="P37" s="1109">
        <v>0.85</v>
      </c>
      <c r="Q37" s="745">
        <f>AVERAGE(E37:P37)</f>
        <v>0.84999999999999976</v>
      </c>
    </row>
    <row r="38" spans="2:17" x14ac:dyDescent="0.25">
      <c r="B38" s="188">
        <f t="shared" si="9"/>
        <v>5</v>
      </c>
      <c r="C38" s="189" t="s">
        <v>428</v>
      </c>
      <c r="D38" s="188" t="s">
        <v>100</v>
      </c>
      <c r="E38" s="557"/>
      <c r="F38" s="557"/>
      <c r="G38" s="557"/>
      <c r="H38" s="557"/>
      <c r="I38" s="557"/>
      <c r="J38" s="557"/>
      <c r="K38" s="557"/>
      <c r="L38" s="557"/>
      <c r="M38" s="557"/>
      <c r="N38" s="557"/>
      <c r="O38" s="557"/>
      <c r="P38" s="557"/>
      <c r="Q38" s="557"/>
    </row>
    <row r="39" spans="2:17" x14ac:dyDescent="0.25">
      <c r="B39" s="188">
        <f t="shared" si="9"/>
        <v>6</v>
      </c>
      <c r="C39" s="189" t="s">
        <v>429</v>
      </c>
      <c r="D39" s="188" t="s">
        <v>100</v>
      </c>
      <c r="E39" s="557"/>
      <c r="F39" s="557"/>
      <c r="G39" s="557"/>
      <c r="H39" s="557"/>
      <c r="I39" s="557"/>
      <c r="J39" s="557"/>
      <c r="K39" s="557"/>
      <c r="L39" s="557"/>
      <c r="M39" s="557"/>
      <c r="N39" s="557"/>
      <c r="O39" s="557"/>
      <c r="P39" s="557"/>
      <c r="Q39" s="557"/>
    </row>
    <row r="40" spans="2:17" x14ac:dyDescent="0.25">
      <c r="B40" s="188">
        <f t="shared" si="9"/>
        <v>7</v>
      </c>
      <c r="C40" s="190" t="s">
        <v>430</v>
      </c>
      <c r="D40" s="193" t="s">
        <v>102</v>
      </c>
      <c r="E40" s="466">
        <v>101.93</v>
      </c>
      <c r="F40" s="466">
        <v>105.96</v>
      </c>
      <c r="G40" s="466">
        <v>78.22</v>
      </c>
      <c r="H40" s="466">
        <v>88.32</v>
      </c>
      <c r="I40" s="466">
        <v>94.62</v>
      </c>
      <c r="J40" s="466">
        <v>78.12</v>
      </c>
      <c r="K40" s="466">
        <v>85.94</v>
      </c>
      <c r="L40" s="466">
        <v>31.26</v>
      </c>
      <c r="M40" s="466">
        <v>92.76</v>
      </c>
      <c r="N40" s="466">
        <v>51.7</v>
      </c>
      <c r="O40" s="466">
        <v>100.52</v>
      </c>
      <c r="P40" s="466">
        <v>106.72</v>
      </c>
      <c r="Q40" s="466">
        <f>SUM(E40:P40)</f>
        <v>1016.0700000000002</v>
      </c>
    </row>
    <row r="41" spans="2:17" x14ac:dyDescent="0.25">
      <c r="B41" s="188">
        <f t="shared" si="9"/>
        <v>8</v>
      </c>
      <c r="C41" s="190" t="s">
        <v>431</v>
      </c>
      <c r="D41" s="193" t="s">
        <v>102</v>
      </c>
      <c r="E41" s="466">
        <v>12.417636999999999</v>
      </c>
      <c r="F41" s="466">
        <v>13.422800000000001</v>
      </c>
      <c r="G41" s="466">
        <v>10.82</v>
      </c>
      <c r="H41" s="466">
        <v>12.19</v>
      </c>
      <c r="I41" s="466">
        <v>13.1</v>
      </c>
      <c r="J41" s="466">
        <v>11.94</v>
      </c>
      <c r="K41" s="466">
        <v>11.94</v>
      </c>
      <c r="L41" s="466">
        <v>12.55</v>
      </c>
      <c r="M41" s="466">
        <v>4.99</v>
      </c>
      <c r="N41" s="466">
        <v>12.09</v>
      </c>
      <c r="O41" s="466">
        <v>7.44</v>
      </c>
      <c r="P41" s="466">
        <v>12.38</v>
      </c>
      <c r="Q41" s="466">
        <f>SUM(E41:P41)</f>
        <v>135.28043700000001</v>
      </c>
    </row>
    <row r="42" spans="2:17" x14ac:dyDescent="0.25">
      <c r="B42" s="188">
        <f t="shared" si="9"/>
        <v>9</v>
      </c>
      <c r="C42" s="190" t="s">
        <v>470</v>
      </c>
      <c r="D42" s="193" t="s">
        <v>102</v>
      </c>
      <c r="E42" s="466">
        <v>97.036665999999997</v>
      </c>
      <c r="F42" s="466">
        <v>95.564858999999998</v>
      </c>
      <c r="G42" s="466">
        <v>67.831704999999999</v>
      </c>
      <c r="H42" s="466">
        <v>77.160246000000001</v>
      </c>
      <c r="I42" s="466">
        <v>83.373498999999995</v>
      </c>
      <c r="J42" s="466">
        <v>70.032414000000003</v>
      </c>
      <c r="K42" s="466">
        <v>74.567008999999999</v>
      </c>
      <c r="L42" s="466">
        <v>28.135615000000001</v>
      </c>
      <c r="M42" s="466">
        <v>81.240813000000003</v>
      </c>
      <c r="N42" s="466">
        <v>45.489671999999999</v>
      </c>
      <c r="O42" s="466">
        <v>87.242233999999996</v>
      </c>
      <c r="P42" s="466">
        <v>92.538529999999994</v>
      </c>
      <c r="Q42" s="466">
        <f>SUM(E42:P42)</f>
        <v>900.21326200000021</v>
      </c>
    </row>
    <row r="43" spans="2:17" x14ac:dyDescent="0.25">
      <c r="B43" s="188">
        <f t="shared" si="9"/>
        <v>10</v>
      </c>
      <c r="C43" s="190" t="s">
        <v>475</v>
      </c>
      <c r="D43" s="193" t="s">
        <v>102</v>
      </c>
      <c r="E43" s="466"/>
      <c r="F43" s="466"/>
      <c r="G43" s="466"/>
      <c r="H43" s="466"/>
      <c r="I43" s="466"/>
      <c r="J43" s="466"/>
      <c r="K43" s="466"/>
      <c r="L43" s="466"/>
      <c r="M43" s="466"/>
      <c r="N43" s="466"/>
      <c r="O43" s="466"/>
      <c r="P43" s="466"/>
      <c r="Q43" s="466">
        <f>SUM(E43:P43)</f>
        <v>0</v>
      </c>
    </row>
    <row r="44" spans="2:17" x14ac:dyDescent="0.25">
      <c r="B44" s="188">
        <f t="shared" si="9"/>
        <v>11</v>
      </c>
      <c r="C44" s="190" t="s">
        <v>432</v>
      </c>
      <c r="D44" s="193" t="s">
        <v>440</v>
      </c>
      <c r="E44" s="466">
        <f t="shared" ref="E44:P44" si="10">E48/E42*10</f>
        <v>4.4080000028030639</v>
      </c>
      <c r="F44" s="466">
        <f t="shared" si="10"/>
        <v>4.4079999950609459</v>
      </c>
      <c r="G44" s="466">
        <f t="shared" si="10"/>
        <v>4.4080000053072528</v>
      </c>
      <c r="H44" s="466">
        <f t="shared" si="10"/>
        <v>4.4079999952307052</v>
      </c>
      <c r="I44" s="466">
        <f t="shared" si="10"/>
        <v>4.4080000048936414</v>
      </c>
      <c r="J44" s="466">
        <f t="shared" si="10"/>
        <v>4.4080000012565606</v>
      </c>
      <c r="K44" s="466">
        <f t="shared" si="10"/>
        <v>4.408000004398728</v>
      </c>
      <c r="L44" s="466">
        <f t="shared" si="10"/>
        <v>4.4080000028433712</v>
      </c>
      <c r="M44" s="466">
        <f t="shared" si="10"/>
        <v>4.4080000036434894</v>
      </c>
      <c r="N44" s="466">
        <f t="shared" si="10"/>
        <v>4.4079999961309904</v>
      </c>
      <c r="O44" s="466">
        <f t="shared" si="10"/>
        <v>4.4079999945897761</v>
      </c>
      <c r="P44" s="466">
        <f t="shared" si="10"/>
        <v>4.4079999974064856</v>
      </c>
      <c r="Q44" s="466">
        <f>Q48/Q42*10</f>
        <v>4.4080000001155266</v>
      </c>
    </row>
    <row r="45" spans="2:17" x14ac:dyDescent="0.25">
      <c r="B45" s="188">
        <f t="shared" si="9"/>
        <v>12</v>
      </c>
      <c r="C45" s="190" t="s">
        <v>476</v>
      </c>
      <c r="D45" s="193" t="s">
        <v>441</v>
      </c>
      <c r="E45" s="466">
        <v>0</v>
      </c>
      <c r="F45" s="466">
        <v>0</v>
      </c>
      <c r="G45" s="466">
        <v>0</v>
      </c>
      <c r="H45" s="466">
        <v>0</v>
      </c>
      <c r="I45" s="466">
        <v>0</v>
      </c>
      <c r="J45" s="466">
        <v>0</v>
      </c>
      <c r="K45" s="466">
        <v>0</v>
      </c>
      <c r="L45" s="466">
        <v>0</v>
      </c>
      <c r="M45" s="466">
        <v>0</v>
      </c>
      <c r="N45" s="466">
        <v>0</v>
      </c>
      <c r="O45" s="466">
        <v>0</v>
      </c>
      <c r="P45" s="466">
        <v>0</v>
      </c>
      <c r="Q45" s="466"/>
    </row>
    <row r="46" spans="2:17" x14ac:dyDescent="0.25">
      <c r="B46" s="188">
        <f t="shared" si="9"/>
        <v>13</v>
      </c>
      <c r="C46" s="190" t="s">
        <v>477</v>
      </c>
      <c r="D46" s="193" t="s">
        <v>440</v>
      </c>
      <c r="E46" s="466">
        <f t="shared" ref="E46:P46" si="11">E49*10/E42</f>
        <v>-0.2989999960839545</v>
      </c>
      <c r="F46" s="466">
        <f t="shared" si="11"/>
        <v>-0.15100000304505234</v>
      </c>
      <c r="G46" s="466">
        <f t="shared" si="11"/>
        <v>-0.18700000243249082</v>
      </c>
      <c r="H46" s="466">
        <f t="shared" si="11"/>
        <v>9.9999940383808522E-3</v>
      </c>
      <c r="I46" s="466">
        <f t="shared" si="11"/>
        <v>7.8999994950433833E-2</v>
      </c>
      <c r="J46" s="466">
        <f t="shared" si="11"/>
        <v>0.23</v>
      </c>
      <c r="K46" s="466">
        <f t="shared" si="11"/>
        <v>0.57099999999999984</v>
      </c>
      <c r="L46" s="466">
        <f t="shared" si="11"/>
        <v>0.55700000000000016</v>
      </c>
      <c r="M46" s="466">
        <f t="shared" si="11"/>
        <v>0.36699999999999999</v>
      </c>
      <c r="N46" s="466">
        <f t="shared" si="11"/>
        <v>0.28999999999999998</v>
      </c>
      <c r="O46" s="466">
        <f t="shared" si="11"/>
        <v>0.59</v>
      </c>
      <c r="P46" s="466">
        <f t="shared" si="11"/>
        <v>0.48399999999999999</v>
      </c>
      <c r="Q46" s="466">
        <f>Q49*10/Q42</f>
        <v>0.18312885840488752</v>
      </c>
    </row>
    <row r="47" spans="2:17" x14ac:dyDescent="0.25">
      <c r="B47" s="188">
        <f t="shared" si="9"/>
        <v>14</v>
      </c>
      <c r="C47" s="190" t="s">
        <v>433</v>
      </c>
      <c r="D47" s="193" t="s">
        <v>441</v>
      </c>
      <c r="E47" s="466">
        <v>14.246267100000001</v>
      </c>
      <c r="F47" s="466">
        <v>12.893547699999999</v>
      </c>
      <c r="G47" s="466">
        <v>9.8725147</v>
      </c>
      <c r="H47" s="466">
        <v>10.784884699999997</v>
      </c>
      <c r="I47" s="466">
        <v>11.215590799999999</v>
      </c>
      <c r="J47" s="466">
        <v>9.8746463999999996</v>
      </c>
      <c r="K47" s="466">
        <v>10.107509800000001</v>
      </c>
      <c r="L47" s="466">
        <v>5.028568899999998</v>
      </c>
      <c r="M47" s="466">
        <v>13.918119799999998</v>
      </c>
      <c r="N47" s="466">
        <v>7.9446746000000008</v>
      </c>
      <c r="O47" s="466">
        <v>15.369912899999997</v>
      </c>
      <c r="P47" s="466">
        <v>15.9794453</v>
      </c>
      <c r="Q47" s="466">
        <f t="shared" ref="Q47:Q52" si="12">SUM(E47:P47)</f>
        <v>137.23568270000001</v>
      </c>
    </row>
    <row r="48" spans="2:17" x14ac:dyDescent="0.25">
      <c r="B48" s="188">
        <f t="shared" si="9"/>
        <v>15</v>
      </c>
      <c r="C48" s="190" t="s">
        <v>434</v>
      </c>
      <c r="D48" s="193" t="s">
        <v>441</v>
      </c>
      <c r="E48" s="466">
        <v>42.773762399999995</v>
      </c>
      <c r="F48" s="466">
        <v>42.124989800000002</v>
      </c>
      <c r="G48" s="466">
        <v>29.900215600000003</v>
      </c>
      <c r="H48" s="466">
        <v>34.012236399999999</v>
      </c>
      <c r="I48" s="466">
        <v>36.751038399999999</v>
      </c>
      <c r="J48" s="466">
        <v>30.870288099999996</v>
      </c>
      <c r="K48" s="466">
        <v>32.869137600000002</v>
      </c>
      <c r="L48" s="466">
        <v>12.402179100000001</v>
      </c>
      <c r="M48" s="466">
        <v>35.810950400000003</v>
      </c>
      <c r="N48" s="466">
        <v>20.0518474</v>
      </c>
      <c r="O48" s="466">
        <v>38.4563767</v>
      </c>
      <c r="P48" s="466">
        <v>40.790984000000002</v>
      </c>
      <c r="Q48" s="466">
        <f t="shared" si="12"/>
        <v>396.81400589999998</v>
      </c>
    </row>
    <row r="49" spans="2:19" x14ac:dyDescent="0.25">
      <c r="B49" s="188">
        <f t="shared" si="9"/>
        <v>16</v>
      </c>
      <c r="C49" s="190" t="s">
        <v>478</v>
      </c>
      <c r="D49" s="193" t="s">
        <v>441</v>
      </c>
      <c r="E49" s="466">
        <v>-2.9013962753999998</v>
      </c>
      <c r="F49" s="466">
        <v>-1.4430293999999997</v>
      </c>
      <c r="G49" s="466">
        <v>-1.2684529</v>
      </c>
      <c r="H49" s="466">
        <v>7.7160199999999998E-2</v>
      </c>
      <c r="I49" s="466">
        <v>0.65865059999999997</v>
      </c>
      <c r="J49" s="466">
        <v>1.6107455220000002</v>
      </c>
      <c r="K49" s="466">
        <v>4.2577762138999988</v>
      </c>
      <c r="L49" s="466">
        <v>1.5671537555000004</v>
      </c>
      <c r="M49" s="466">
        <v>2.9815378371000003</v>
      </c>
      <c r="N49" s="466">
        <v>1.3192004879999999</v>
      </c>
      <c r="O49" s="466">
        <v>5.1472918059999992</v>
      </c>
      <c r="P49" s="466">
        <v>4.4788648519999992</v>
      </c>
      <c r="Q49" s="466">
        <f t="shared" si="12"/>
        <v>16.485502699099996</v>
      </c>
    </row>
    <row r="50" spans="2:19" x14ac:dyDescent="0.25">
      <c r="B50" s="188">
        <f t="shared" si="9"/>
        <v>17</v>
      </c>
      <c r="C50" s="190" t="s">
        <v>1148</v>
      </c>
      <c r="D50" s="193" t="s">
        <v>441</v>
      </c>
      <c r="E50" s="466">
        <v>0.22572218175</v>
      </c>
      <c r="F50" s="466">
        <v>0.22572218175</v>
      </c>
      <c r="G50" s="466">
        <v>0.22572218175</v>
      </c>
      <c r="H50" s="466">
        <v>0.22572218175</v>
      </c>
      <c r="I50" s="466">
        <v>0.22572218175</v>
      </c>
      <c r="J50" s="466">
        <v>0.22572218175</v>
      </c>
      <c r="K50" s="466">
        <v>0.22572218175</v>
      </c>
      <c r="L50" s="466">
        <v>0.22572218175</v>
      </c>
      <c r="M50" s="466">
        <v>0.22572218175</v>
      </c>
      <c r="N50" s="466">
        <v>0.22572218175</v>
      </c>
      <c r="O50" s="466">
        <v>0.22572218175</v>
      </c>
      <c r="P50" s="466">
        <v>0.22572218175</v>
      </c>
      <c r="Q50" s="466">
        <f t="shared" si="12"/>
        <v>2.7086661810000003</v>
      </c>
    </row>
    <row r="51" spans="2:19" x14ac:dyDescent="0.25">
      <c r="B51" s="188">
        <f t="shared" si="9"/>
        <v>18</v>
      </c>
      <c r="C51" s="467" t="s">
        <v>1118</v>
      </c>
      <c r="D51" s="193" t="s">
        <v>441</v>
      </c>
      <c r="E51" s="466">
        <v>-1.8385108333333334E-2</v>
      </c>
      <c r="F51" s="466">
        <v>-1.8385108333333334E-2</v>
      </c>
      <c r="G51" s="466">
        <v>-1.8385108333333334E-2</v>
      </c>
      <c r="H51" s="466">
        <v>-1.8385108333333334E-2</v>
      </c>
      <c r="I51" s="466">
        <v>-1.8385108333333334E-2</v>
      </c>
      <c r="J51" s="466">
        <v>-1.8385108333333334E-2</v>
      </c>
      <c r="K51" s="466">
        <v>-1.8385108333333334E-2</v>
      </c>
      <c r="L51" s="466">
        <v>-1.8385108333333334E-2</v>
      </c>
      <c r="M51" s="466">
        <v>-1.8385108333333334E-2</v>
      </c>
      <c r="N51" s="466">
        <v>-1.8385108333333334E-2</v>
      </c>
      <c r="O51" s="466">
        <v>-1.8385108333333334E-2</v>
      </c>
      <c r="P51" s="466">
        <v>-1.8385108333333334E-2</v>
      </c>
      <c r="Q51" s="466">
        <f t="shared" si="12"/>
        <v>-0.22062130000000005</v>
      </c>
    </row>
    <row r="52" spans="2:19" x14ac:dyDescent="0.25">
      <c r="B52" s="188">
        <f t="shared" si="9"/>
        <v>19</v>
      </c>
      <c r="C52" s="191" t="s">
        <v>435</v>
      </c>
      <c r="D52" s="468" t="s">
        <v>441</v>
      </c>
      <c r="E52" s="352">
        <f t="shared" ref="E52:P52" si="13">SUM(E47:E51)</f>
        <v>54.325970298016657</v>
      </c>
      <c r="F52" s="352">
        <f t="shared" si="13"/>
        <v>53.782845173416668</v>
      </c>
      <c r="G52" s="352">
        <f t="shared" si="13"/>
        <v>38.711614473416674</v>
      </c>
      <c r="H52" s="352">
        <f t="shared" si="13"/>
        <v>45.081618373416667</v>
      </c>
      <c r="I52" s="352">
        <f t="shared" si="13"/>
        <v>48.832616873416669</v>
      </c>
      <c r="J52" s="352">
        <f t="shared" si="13"/>
        <v>42.563017095416669</v>
      </c>
      <c r="K52" s="352">
        <f t="shared" si="13"/>
        <v>47.441760687316673</v>
      </c>
      <c r="L52" s="352">
        <f t="shared" si="13"/>
        <v>19.20523882891667</v>
      </c>
      <c r="M52" s="352">
        <f t="shared" si="13"/>
        <v>52.917945110516669</v>
      </c>
      <c r="N52" s="352">
        <f t="shared" si="13"/>
        <v>29.523059561416666</v>
      </c>
      <c r="O52" s="352">
        <f t="shared" si="13"/>
        <v>59.180918479416661</v>
      </c>
      <c r="P52" s="352">
        <f t="shared" si="13"/>
        <v>61.456631225416672</v>
      </c>
      <c r="Q52" s="466">
        <f t="shared" si="12"/>
        <v>553.02323618009996</v>
      </c>
    </row>
    <row r="53" spans="2:19" x14ac:dyDescent="0.25">
      <c r="B53" s="188">
        <f t="shared" si="9"/>
        <v>20</v>
      </c>
      <c r="C53" s="192" t="s">
        <v>436</v>
      </c>
      <c r="D53" s="193" t="s">
        <v>441</v>
      </c>
      <c r="E53" s="1042"/>
      <c r="F53" s="1042"/>
      <c r="G53" s="1042"/>
      <c r="H53" s="1042"/>
      <c r="I53" s="1042"/>
      <c r="J53" s="1042"/>
      <c r="K53" s="1042"/>
      <c r="L53" s="1042"/>
      <c r="M53" s="1042"/>
      <c r="N53" s="1042"/>
      <c r="O53" s="1042"/>
      <c r="P53" s="1042"/>
      <c r="Q53" s="466"/>
    </row>
    <row r="54" spans="2:19" x14ac:dyDescent="0.25">
      <c r="B54" s="188">
        <f t="shared" si="9"/>
        <v>21</v>
      </c>
      <c r="C54" s="190" t="s">
        <v>1148</v>
      </c>
      <c r="D54" s="193"/>
      <c r="E54" s="466">
        <v>0.22572218175</v>
      </c>
      <c r="F54" s="466">
        <v>0.22572218175</v>
      </c>
      <c r="G54" s="466">
        <v>0.22572218175</v>
      </c>
      <c r="H54" s="466">
        <v>0.22572218175</v>
      </c>
      <c r="I54" s="466">
        <v>0.22572218175</v>
      </c>
      <c r="J54" s="466">
        <v>0.22572218175</v>
      </c>
      <c r="K54" s="466">
        <v>0.22572218175</v>
      </c>
      <c r="L54" s="466">
        <v>0.22572218175</v>
      </c>
      <c r="M54" s="466">
        <v>0.22572218175</v>
      </c>
      <c r="N54" s="466">
        <v>0.22572218175</v>
      </c>
      <c r="O54" s="466">
        <v>0.22572218175</v>
      </c>
      <c r="P54" s="466">
        <v>0.22572218175</v>
      </c>
      <c r="Q54" s="466">
        <f>SUM(E54:P54)</f>
        <v>2.7086661810000003</v>
      </c>
    </row>
    <row r="55" spans="2:19" hidden="1" x14ac:dyDescent="0.25">
      <c r="B55" s="188"/>
      <c r="C55" s="764"/>
      <c r="D55" s="193" t="s">
        <v>441</v>
      </c>
      <c r="E55" s="466"/>
      <c r="F55" s="466"/>
      <c r="G55" s="466"/>
      <c r="H55" s="466"/>
      <c r="I55" s="466"/>
      <c r="J55" s="466"/>
      <c r="K55" s="466"/>
      <c r="L55" s="466"/>
      <c r="M55" s="466"/>
      <c r="N55" s="466"/>
      <c r="O55" s="466"/>
      <c r="P55" s="466"/>
      <c r="Q55" s="466">
        <f t="shared" ref="Q55" si="14">SUM(E55:P55)</f>
        <v>0</v>
      </c>
    </row>
    <row r="56" spans="2:19" x14ac:dyDescent="0.25">
      <c r="B56" s="193">
        <f>B54+1</f>
        <v>22</v>
      </c>
      <c r="C56" s="194" t="s">
        <v>351</v>
      </c>
      <c r="D56" s="193" t="s">
        <v>441</v>
      </c>
      <c r="E56" s="466">
        <f>E52-E54</f>
        <v>54.100248116266656</v>
      </c>
      <c r="F56" s="466">
        <f t="shared" ref="F56:Q56" si="15">F52-F54</f>
        <v>53.557122991666667</v>
      </c>
      <c r="G56" s="466">
        <f t="shared" si="15"/>
        <v>38.485892291666673</v>
      </c>
      <c r="H56" s="466">
        <f t="shared" si="15"/>
        <v>44.855896191666666</v>
      </c>
      <c r="I56" s="466">
        <f t="shared" si="15"/>
        <v>48.606894691666668</v>
      </c>
      <c r="J56" s="466">
        <f t="shared" si="15"/>
        <v>42.337294913666668</v>
      </c>
      <c r="K56" s="466">
        <f t="shared" si="15"/>
        <v>47.216038505566672</v>
      </c>
      <c r="L56" s="466">
        <f t="shared" si="15"/>
        <v>18.979516647166669</v>
      </c>
      <c r="M56" s="466">
        <f t="shared" si="15"/>
        <v>52.692222928766668</v>
      </c>
      <c r="N56" s="466">
        <f t="shared" si="15"/>
        <v>29.297337379666665</v>
      </c>
      <c r="O56" s="466">
        <f>O52-O54</f>
        <v>58.95519629766666</v>
      </c>
      <c r="P56" s="466">
        <f t="shared" si="15"/>
        <v>61.230909043666671</v>
      </c>
      <c r="Q56" s="466">
        <f t="shared" si="15"/>
        <v>550.31456999909994</v>
      </c>
    </row>
    <row r="57" spans="2:19" x14ac:dyDescent="0.25">
      <c r="B57" s="193">
        <f>B56+1</f>
        <v>23</v>
      </c>
      <c r="C57" s="194" t="s">
        <v>442</v>
      </c>
      <c r="D57" s="193" t="s">
        <v>441</v>
      </c>
      <c r="E57" s="466">
        <f t="shared" ref="E57:P57" si="16">E56</f>
        <v>54.100248116266656</v>
      </c>
      <c r="F57" s="466">
        <f t="shared" si="16"/>
        <v>53.557122991666667</v>
      </c>
      <c r="G57" s="466">
        <f t="shared" si="16"/>
        <v>38.485892291666673</v>
      </c>
      <c r="H57" s="466">
        <f t="shared" si="16"/>
        <v>44.855896191666666</v>
      </c>
      <c r="I57" s="466">
        <f t="shared" si="16"/>
        <v>48.606894691666668</v>
      </c>
      <c r="J57" s="466">
        <f t="shared" si="16"/>
        <v>42.337294913666668</v>
      </c>
      <c r="K57" s="466">
        <f t="shared" si="16"/>
        <v>47.216038505566672</v>
      </c>
      <c r="L57" s="466">
        <f t="shared" si="16"/>
        <v>18.979516647166669</v>
      </c>
      <c r="M57" s="466">
        <f t="shared" si="16"/>
        <v>52.692222928766668</v>
      </c>
      <c r="N57" s="466">
        <f t="shared" si="16"/>
        <v>29.297337379666665</v>
      </c>
      <c r="O57" s="466">
        <f t="shared" si="16"/>
        <v>58.95519629766666</v>
      </c>
      <c r="P57" s="466">
        <f t="shared" si="16"/>
        <v>61.230909043666671</v>
      </c>
      <c r="Q57" s="466">
        <f>SUM(E57:P57)</f>
        <v>550.31456999910006</v>
      </c>
      <c r="R57" s="453">
        <f>'F9'!N22-Q57</f>
        <v>0</v>
      </c>
      <c r="S57" s="453"/>
    </row>
  </sheetData>
  <pageMargins left="0.7" right="0.7" top="0.75" bottom="0.75" header="0.3" footer="0.3"/>
  <pageSetup paperSize="9" scale="4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pageSetUpPr fitToPage="1"/>
  </sheetPr>
  <dimension ref="B2:N51"/>
  <sheetViews>
    <sheetView showGridLines="0" view="pageBreakPreview" zoomScale="80" zoomScaleNormal="80" zoomScaleSheetLayoutView="80" workbookViewId="0">
      <selection activeCell="H30" sqref="H30"/>
    </sheetView>
  </sheetViews>
  <sheetFormatPr defaultColWidth="8.6328125" defaultRowHeight="14" x14ac:dyDescent="0.3"/>
  <cols>
    <col min="1" max="1" width="8.6328125" style="232"/>
    <col min="2" max="2" width="13.453125" style="232" customWidth="1"/>
    <col min="3" max="11" width="12.36328125" style="232" customWidth="1"/>
    <col min="12" max="12" width="14.6328125" style="232" customWidth="1"/>
    <col min="13" max="14" width="12.36328125" style="232" customWidth="1"/>
    <col min="15" max="16384" width="8.6328125" style="232"/>
  </cols>
  <sheetData>
    <row r="2" spans="2:14" x14ac:dyDescent="0.3">
      <c r="B2" s="1598" t="str">
        <f>Index!B2</f>
        <v xml:space="preserve">      Maharashtra State Power Generation Company Ltd.</v>
      </c>
      <c r="C2" s="1598"/>
      <c r="D2" s="1598"/>
      <c r="E2" s="1598"/>
      <c r="F2" s="1598"/>
      <c r="G2" s="1598"/>
      <c r="H2" s="1598"/>
      <c r="I2" s="1598"/>
      <c r="J2" s="1598"/>
      <c r="K2" s="1598"/>
      <c r="L2" s="1598"/>
      <c r="M2" s="1598"/>
      <c r="N2" s="1598"/>
    </row>
    <row r="3" spans="2:14" x14ac:dyDescent="0.3">
      <c r="B3" s="1598" t="str">
        <f>Index!B3</f>
        <v>MYT Petition Formats for Bhusawal Unit 3</v>
      </c>
      <c r="C3" s="1598"/>
      <c r="D3" s="1598"/>
      <c r="E3" s="1598"/>
      <c r="F3" s="1598"/>
      <c r="G3" s="1598"/>
      <c r="H3" s="1598"/>
      <c r="I3" s="1598"/>
      <c r="J3" s="1598"/>
      <c r="K3" s="1598"/>
      <c r="L3" s="1598"/>
      <c r="M3" s="1598"/>
      <c r="N3" s="1598"/>
    </row>
    <row r="4" spans="2:14" x14ac:dyDescent="0.3">
      <c r="B4" s="1795" t="s">
        <v>424</v>
      </c>
      <c r="C4" s="1795"/>
      <c r="D4" s="1795"/>
      <c r="E4" s="1795"/>
      <c r="F4" s="1795"/>
      <c r="G4" s="1795"/>
      <c r="H4" s="1795"/>
      <c r="I4" s="1795"/>
      <c r="J4" s="1795"/>
      <c r="K4" s="1795"/>
      <c r="L4" s="1795"/>
      <c r="M4" s="1795"/>
      <c r="N4" s="1795"/>
    </row>
    <row r="5" spans="2:14" x14ac:dyDescent="0.3">
      <c r="B5" s="228"/>
      <c r="C5" s="228"/>
      <c r="D5" s="228"/>
      <c r="E5" s="228"/>
      <c r="F5" s="228"/>
      <c r="G5" s="228"/>
      <c r="H5" s="228"/>
      <c r="I5" s="228"/>
      <c r="J5" s="228"/>
      <c r="K5" s="228"/>
      <c r="L5" s="228"/>
      <c r="M5" s="228"/>
      <c r="N5" s="228"/>
    </row>
    <row r="6" spans="2:14" x14ac:dyDescent="0.3">
      <c r="B6" s="63" t="s">
        <v>1067</v>
      </c>
    </row>
    <row r="7" spans="2:14" x14ac:dyDescent="0.3">
      <c r="B7" s="63"/>
      <c r="N7" s="42" t="s">
        <v>10</v>
      </c>
    </row>
    <row r="8" spans="2:14" s="238" customFormat="1" ht="35.75" customHeight="1" x14ac:dyDescent="0.25">
      <c r="B8" s="1603" t="s">
        <v>278</v>
      </c>
      <c r="C8" s="1641" t="s">
        <v>294</v>
      </c>
      <c r="D8" s="1641"/>
      <c r="E8" s="1641"/>
      <c r="F8" s="1641"/>
      <c r="G8" s="1639" t="s">
        <v>295</v>
      </c>
      <c r="H8" s="1639"/>
      <c r="I8" s="1639"/>
      <c r="J8" s="1793" t="s">
        <v>296</v>
      </c>
      <c r="K8" s="1793"/>
      <c r="L8" s="1793"/>
      <c r="M8" s="1793"/>
      <c r="N8" s="1793"/>
    </row>
    <row r="9" spans="2:14" ht="72" customHeight="1" x14ac:dyDescent="0.3">
      <c r="B9" s="1603"/>
      <c r="C9" s="299" t="s">
        <v>347</v>
      </c>
      <c r="D9" s="299" t="s">
        <v>345</v>
      </c>
      <c r="E9" s="299" t="s">
        <v>743</v>
      </c>
      <c r="F9" s="299" t="s">
        <v>346</v>
      </c>
      <c r="G9" s="299" t="s">
        <v>297</v>
      </c>
      <c r="H9" s="299" t="s">
        <v>744</v>
      </c>
      <c r="I9" s="299" t="s">
        <v>298</v>
      </c>
      <c r="J9" s="299" t="s">
        <v>299</v>
      </c>
      <c r="K9" s="299" t="s">
        <v>300</v>
      </c>
      <c r="L9" s="299" t="s">
        <v>745</v>
      </c>
      <c r="M9" s="299" t="s">
        <v>746</v>
      </c>
      <c r="N9" s="300" t="s">
        <v>271</v>
      </c>
    </row>
    <row r="10" spans="2:14" x14ac:dyDescent="0.3">
      <c r="B10" s="234"/>
      <c r="C10" s="235"/>
      <c r="D10" s="235"/>
      <c r="E10" s="235"/>
      <c r="F10" s="235"/>
      <c r="G10" s="235"/>
      <c r="H10" s="235"/>
      <c r="I10" s="235"/>
      <c r="J10" s="235"/>
      <c r="K10" s="235"/>
      <c r="L10" s="235"/>
      <c r="M10" s="235"/>
      <c r="N10" s="236"/>
    </row>
    <row r="11" spans="2:14" x14ac:dyDescent="0.3">
      <c r="B11" s="142" t="s">
        <v>782</v>
      </c>
      <c r="C11" s="555">
        <f ca="1">'F9.2'!C12</f>
        <v>211.27773258664399</v>
      </c>
      <c r="D11" s="555">
        <f>'F9.2'!D12</f>
        <v>5.3727351888739285</v>
      </c>
      <c r="E11" s="555">
        <f>'F9.2'!E12</f>
        <v>0</v>
      </c>
      <c r="F11" s="555">
        <f>'F9.2'!F12</f>
        <v>0</v>
      </c>
      <c r="G11" s="555">
        <f>'F9.2'!G12</f>
        <v>1310.85228633567</v>
      </c>
      <c r="H11" s="555">
        <f>'F9.2'!H12</f>
        <v>1</v>
      </c>
      <c r="I11" s="555">
        <f>'F9.2'!I12</f>
        <v>0</v>
      </c>
      <c r="J11" s="555">
        <f ca="1">'F9.2'!J12</f>
        <v>211.27773258664399</v>
      </c>
      <c r="K11" s="555">
        <f>'F9.2'!K12</f>
        <v>704.28622062114971</v>
      </c>
      <c r="L11" s="555">
        <f>'F9.2'!L12</f>
        <v>0</v>
      </c>
      <c r="M11" s="555">
        <f>'F9.2'!M12</f>
        <v>0</v>
      </c>
      <c r="N11" s="302">
        <f ca="1">SUM(J11:M11)</f>
        <v>915.5639532077937</v>
      </c>
    </row>
    <row r="12" spans="2:14" x14ac:dyDescent="0.3">
      <c r="B12" s="102"/>
      <c r="C12" s="24"/>
      <c r="D12" s="24"/>
      <c r="E12" s="24"/>
      <c r="F12" s="24"/>
      <c r="G12" s="24"/>
      <c r="H12" s="24"/>
      <c r="I12" s="24"/>
      <c r="J12" s="24"/>
      <c r="K12" s="24"/>
      <c r="L12" s="24"/>
      <c r="M12" s="24"/>
      <c r="N12" s="24"/>
    </row>
    <row r="13" spans="2:14" x14ac:dyDescent="0.3">
      <c r="B13" s="237" t="s">
        <v>271</v>
      </c>
      <c r="C13" s="330"/>
      <c r="D13" s="330"/>
      <c r="E13" s="330"/>
      <c r="F13" s="330"/>
      <c r="G13" s="330">
        <f>SUM(G11:G12)</f>
        <v>1310.85228633567</v>
      </c>
      <c r="H13" s="330"/>
      <c r="I13" s="330"/>
      <c r="J13" s="330">
        <f ca="1">SUM(J11:J12)</f>
        <v>211.27773258664399</v>
      </c>
      <c r="K13" s="330">
        <f>SUM(K11:K12)</f>
        <v>704.28622062114971</v>
      </c>
      <c r="L13" s="330">
        <f>SUM(L11:L12)</f>
        <v>0</v>
      </c>
      <c r="M13" s="330">
        <f>SUM(M11:M12)</f>
        <v>0</v>
      </c>
      <c r="N13" s="330">
        <f ca="1">SUM(N11:N12)</f>
        <v>915.5639532077937</v>
      </c>
    </row>
    <row r="17" spans="2:14" x14ac:dyDescent="0.3">
      <c r="B17" s="63" t="s">
        <v>1068</v>
      </c>
      <c r="N17" s="233"/>
    </row>
    <row r="18" spans="2:14" x14ac:dyDescent="0.3">
      <c r="B18" s="63"/>
      <c r="N18" s="42" t="s">
        <v>10</v>
      </c>
    </row>
    <row r="19" spans="2:14" ht="32" customHeight="1" x14ac:dyDescent="0.3">
      <c r="B19" s="1603" t="s">
        <v>278</v>
      </c>
      <c r="C19" s="1641" t="s">
        <v>294</v>
      </c>
      <c r="D19" s="1641"/>
      <c r="E19" s="1641"/>
      <c r="F19" s="1641"/>
      <c r="G19" s="1639" t="s">
        <v>295</v>
      </c>
      <c r="H19" s="1639"/>
      <c r="I19" s="1639"/>
      <c r="J19" s="1793" t="s">
        <v>296</v>
      </c>
      <c r="K19" s="1793"/>
      <c r="L19" s="1793"/>
      <c r="M19" s="1793"/>
      <c r="N19" s="1793"/>
    </row>
    <row r="20" spans="2:14" ht="68.25" customHeight="1" x14ac:dyDescent="0.3">
      <c r="B20" s="1603"/>
      <c r="C20" s="299" t="s">
        <v>347</v>
      </c>
      <c r="D20" s="299" t="s">
        <v>345</v>
      </c>
      <c r="E20" s="299" t="s">
        <v>743</v>
      </c>
      <c r="F20" s="299" t="s">
        <v>346</v>
      </c>
      <c r="G20" s="299" t="s">
        <v>297</v>
      </c>
      <c r="H20" s="299" t="s">
        <v>744</v>
      </c>
      <c r="I20" s="299" t="s">
        <v>298</v>
      </c>
      <c r="J20" s="299" t="s">
        <v>299</v>
      </c>
      <c r="K20" s="299" t="s">
        <v>300</v>
      </c>
      <c r="L20" s="299" t="s">
        <v>745</v>
      </c>
      <c r="M20" s="299" t="s">
        <v>746</v>
      </c>
      <c r="N20" s="300" t="s">
        <v>271</v>
      </c>
    </row>
    <row r="21" spans="2:14" x14ac:dyDescent="0.3">
      <c r="B21" s="234"/>
      <c r="C21" s="235"/>
      <c r="D21" s="235"/>
      <c r="E21" s="235"/>
      <c r="F21" s="235"/>
      <c r="G21" s="235"/>
      <c r="H21" s="235"/>
      <c r="I21" s="235"/>
      <c r="J21" s="235"/>
      <c r="K21" s="235"/>
      <c r="L21" s="235"/>
      <c r="M21" s="235"/>
      <c r="N21" s="236"/>
    </row>
    <row r="22" spans="2:14" x14ac:dyDescent="0.3">
      <c r="B22" s="142" t="s">
        <v>782</v>
      </c>
      <c r="C22" s="302">
        <f ca="1">'F9.2'!C23</f>
        <v>227.31601549740105</v>
      </c>
      <c r="D22" s="302">
        <f>'F9.2'!D23</f>
        <v>5.6413749583198838</v>
      </c>
      <c r="E22" s="302">
        <f>'F9.2'!E23</f>
        <v>0</v>
      </c>
      <c r="F22" s="302">
        <f>'F9.2'!F23</f>
        <v>0</v>
      </c>
      <c r="G22" s="302">
        <f>'F9.2'!G23</f>
        <v>1310.8034994301615</v>
      </c>
      <c r="H22" s="556">
        <f>'F9.2'!H23</f>
        <v>1</v>
      </c>
      <c r="I22" s="302">
        <f>'F9.2'!I23</f>
        <v>0</v>
      </c>
      <c r="J22" s="302">
        <f ca="1">'F9.2'!J23</f>
        <v>227.31601549740105</v>
      </c>
      <c r="K22" s="302">
        <f>'F9.2'!K23</f>
        <v>739.47340369633855</v>
      </c>
      <c r="L22" s="302">
        <f>'F9.2'!L23</f>
        <v>0</v>
      </c>
      <c r="M22" s="302">
        <f>'F9.2'!M23</f>
        <v>0</v>
      </c>
      <c r="N22" s="302">
        <f ca="1">SUM(J22:M22)</f>
        <v>966.7894191937396</v>
      </c>
    </row>
    <row r="23" spans="2:14" x14ac:dyDescent="0.3">
      <c r="B23" s="102"/>
      <c r="C23" s="24"/>
      <c r="D23" s="24"/>
      <c r="E23" s="24"/>
      <c r="F23" s="24"/>
      <c r="G23" s="24"/>
      <c r="H23" s="24"/>
      <c r="I23" s="24"/>
      <c r="J23" s="24"/>
      <c r="K23" s="24"/>
      <c r="L23" s="24"/>
      <c r="M23" s="24"/>
      <c r="N23" s="24"/>
    </row>
    <row r="24" spans="2:14" x14ac:dyDescent="0.3">
      <c r="B24" s="237" t="s">
        <v>271</v>
      </c>
      <c r="C24" s="330"/>
      <c r="D24" s="330"/>
      <c r="E24" s="330"/>
      <c r="F24" s="330"/>
      <c r="G24" s="330">
        <f>SUM(G22:G23)</f>
        <v>1310.8034994301615</v>
      </c>
      <c r="H24" s="330"/>
      <c r="I24" s="330"/>
      <c r="J24" s="330">
        <f ca="1">SUM(J22:J23)</f>
        <v>227.31601549740105</v>
      </c>
      <c r="K24" s="330">
        <f>SUM(K22:K23)</f>
        <v>739.47340369633855</v>
      </c>
      <c r="L24" s="330">
        <f>SUM(L22:L23)</f>
        <v>0</v>
      </c>
      <c r="M24" s="330">
        <f>SUM(M22:M23)</f>
        <v>0</v>
      </c>
      <c r="N24" s="330">
        <f ca="1">SUM(N22:N23)</f>
        <v>966.7894191937396</v>
      </c>
    </row>
    <row r="26" spans="2:14" x14ac:dyDescent="0.3">
      <c r="B26" s="63" t="s">
        <v>1069</v>
      </c>
      <c r="N26" s="233"/>
    </row>
    <row r="27" spans="2:14" x14ac:dyDescent="0.3">
      <c r="B27" s="63"/>
      <c r="N27" s="42" t="s">
        <v>10</v>
      </c>
    </row>
    <row r="28" spans="2:14" x14ac:dyDescent="0.3">
      <c r="B28" s="1603" t="s">
        <v>278</v>
      </c>
      <c r="C28" s="1641" t="s">
        <v>294</v>
      </c>
      <c r="D28" s="1641"/>
      <c r="E28" s="1641"/>
      <c r="F28" s="1641"/>
      <c r="G28" s="1639" t="s">
        <v>295</v>
      </c>
      <c r="H28" s="1639"/>
      <c r="I28" s="1639"/>
      <c r="J28" s="1793" t="s">
        <v>296</v>
      </c>
      <c r="K28" s="1793"/>
      <c r="L28" s="1793"/>
      <c r="M28" s="1793"/>
      <c r="N28" s="1793"/>
    </row>
    <row r="29" spans="2:14" ht="70" x14ac:dyDescent="0.3">
      <c r="B29" s="1603"/>
      <c r="C29" s="688" t="s">
        <v>347</v>
      </c>
      <c r="D29" s="688" t="s">
        <v>345</v>
      </c>
      <c r="E29" s="688" t="s">
        <v>743</v>
      </c>
      <c r="F29" s="688" t="s">
        <v>346</v>
      </c>
      <c r="G29" s="688" t="s">
        <v>297</v>
      </c>
      <c r="H29" s="688" t="s">
        <v>744</v>
      </c>
      <c r="I29" s="688" t="s">
        <v>298</v>
      </c>
      <c r="J29" s="688" t="s">
        <v>299</v>
      </c>
      <c r="K29" s="688" t="s">
        <v>300</v>
      </c>
      <c r="L29" s="688" t="s">
        <v>745</v>
      </c>
      <c r="M29" s="688" t="s">
        <v>746</v>
      </c>
      <c r="N29" s="689" t="s">
        <v>271</v>
      </c>
    </row>
    <row r="30" spans="2:14" x14ac:dyDescent="0.3">
      <c r="B30" s="234"/>
      <c r="C30" s="235"/>
      <c r="D30" s="235"/>
      <c r="E30" s="235"/>
      <c r="F30" s="235"/>
      <c r="G30" s="235"/>
      <c r="H30" s="235"/>
      <c r="I30" s="235"/>
      <c r="J30" s="235"/>
      <c r="K30" s="235"/>
      <c r="L30" s="235"/>
      <c r="M30" s="235"/>
      <c r="N30" s="236"/>
    </row>
    <row r="31" spans="2:14" x14ac:dyDescent="0.3">
      <c r="B31" s="142" t="s">
        <v>782</v>
      </c>
      <c r="C31" s="302">
        <f ca="1">'F9.2'!C34</f>
        <v>320.12600996787069</v>
      </c>
      <c r="D31" s="302">
        <f>'F9.2'!D34</f>
        <v>5.9234437062358793</v>
      </c>
      <c r="E31" s="302">
        <f>'F9.2'!E34</f>
        <v>0</v>
      </c>
      <c r="F31" s="302">
        <f>'F9.2'!F34</f>
        <v>0</v>
      </c>
      <c r="G31" s="302">
        <f>'F9.2'!G34</f>
        <v>1310.8034994301615</v>
      </c>
      <c r="H31" s="556">
        <f>'F9.2'!H34</f>
        <v>1</v>
      </c>
      <c r="I31" s="302">
        <f>'F9.2'!I34</f>
        <v>0</v>
      </c>
      <c r="J31" s="302">
        <f ca="1">'F9.2'!J34</f>
        <v>320.12600996787069</v>
      </c>
      <c r="K31" s="302">
        <f>'F9.2'!K34</f>
        <v>776.44707388115569</v>
      </c>
      <c r="L31" s="302">
        <f>'F9.2'!L34</f>
        <v>0</v>
      </c>
      <c r="M31" s="302">
        <f>'F9.2'!M34</f>
        <v>0</v>
      </c>
      <c r="N31" s="302">
        <f ca="1">SUM(J31:M31)</f>
        <v>1096.5730838490263</v>
      </c>
    </row>
    <row r="32" spans="2:14" x14ac:dyDescent="0.3">
      <c r="B32" s="102"/>
      <c r="C32" s="24"/>
      <c r="D32" s="24"/>
      <c r="E32" s="24"/>
      <c r="F32" s="24"/>
      <c r="G32" s="24"/>
      <c r="H32" s="24"/>
      <c r="I32" s="24"/>
      <c r="J32" s="24"/>
      <c r="K32" s="24"/>
      <c r="L32" s="24"/>
      <c r="M32" s="24"/>
      <c r="N32" s="24"/>
    </row>
    <row r="33" spans="2:14" x14ac:dyDescent="0.3">
      <c r="B33" s="237" t="s">
        <v>271</v>
      </c>
      <c r="C33" s="330"/>
      <c r="D33" s="330"/>
      <c r="E33" s="330"/>
      <c r="F33" s="330"/>
      <c r="G33" s="330">
        <f>SUM(G31:G32)</f>
        <v>1310.8034994301615</v>
      </c>
      <c r="H33" s="330"/>
      <c r="I33" s="330"/>
      <c r="J33" s="330">
        <f ca="1">SUM(J31:J32)</f>
        <v>320.12600996787069</v>
      </c>
      <c r="K33" s="330">
        <f>SUM(K31:K32)</f>
        <v>776.44707388115569</v>
      </c>
      <c r="L33" s="330">
        <f>SUM(L31:L32)</f>
        <v>0</v>
      </c>
      <c r="M33" s="330">
        <f>SUM(M31:M32)</f>
        <v>0</v>
      </c>
      <c r="N33" s="330">
        <f ca="1">SUM(N31:N32)</f>
        <v>1096.5730838490263</v>
      </c>
    </row>
    <row r="35" spans="2:14" x14ac:dyDescent="0.3">
      <c r="B35" s="63" t="s">
        <v>1070</v>
      </c>
      <c r="N35" s="233"/>
    </row>
    <row r="36" spans="2:14" x14ac:dyDescent="0.3">
      <c r="B36" s="63"/>
      <c r="N36" s="42" t="s">
        <v>10</v>
      </c>
    </row>
    <row r="37" spans="2:14" x14ac:dyDescent="0.3">
      <c r="B37" s="1603" t="s">
        <v>278</v>
      </c>
      <c r="C37" s="1641" t="s">
        <v>294</v>
      </c>
      <c r="D37" s="1641"/>
      <c r="E37" s="1641"/>
      <c r="F37" s="1641"/>
      <c r="G37" s="1639" t="s">
        <v>295</v>
      </c>
      <c r="H37" s="1639"/>
      <c r="I37" s="1639"/>
      <c r="J37" s="1793" t="s">
        <v>296</v>
      </c>
      <c r="K37" s="1793"/>
      <c r="L37" s="1793"/>
      <c r="M37" s="1793"/>
      <c r="N37" s="1793"/>
    </row>
    <row r="38" spans="2:14" ht="70" x14ac:dyDescent="0.3">
      <c r="B38" s="1603"/>
      <c r="C38" s="688" t="s">
        <v>347</v>
      </c>
      <c r="D38" s="688" t="s">
        <v>345</v>
      </c>
      <c r="E38" s="688" t="s">
        <v>743</v>
      </c>
      <c r="F38" s="688" t="s">
        <v>346</v>
      </c>
      <c r="G38" s="688" t="s">
        <v>297</v>
      </c>
      <c r="H38" s="688" t="s">
        <v>744</v>
      </c>
      <c r="I38" s="688" t="s">
        <v>298</v>
      </c>
      <c r="J38" s="688" t="s">
        <v>299</v>
      </c>
      <c r="K38" s="688" t="s">
        <v>300</v>
      </c>
      <c r="L38" s="688" t="s">
        <v>745</v>
      </c>
      <c r="M38" s="688" t="s">
        <v>746</v>
      </c>
      <c r="N38" s="689" t="s">
        <v>271</v>
      </c>
    </row>
    <row r="39" spans="2:14" x14ac:dyDescent="0.3">
      <c r="B39" s="234"/>
      <c r="C39" s="235"/>
      <c r="D39" s="235"/>
      <c r="E39" s="235"/>
      <c r="F39" s="235"/>
      <c r="G39" s="235"/>
      <c r="H39" s="235"/>
      <c r="I39" s="235"/>
      <c r="J39" s="235"/>
      <c r="K39" s="235"/>
      <c r="L39" s="235"/>
      <c r="M39" s="235"/>
      <c r="N39" s="236"/>
    </row>
    <row r="40" spans="2:14" x14ac:dyDescent="0.3">
      <c r="B40" s="142" t="s">
        <v>782</v>
      </c>
      <c r="C40" s="302">
        <f ca="1">'F9.2'!C44</f>
        <v>330.32227367698931</v>
      </c>
      <c r="D40" s="302">
        <f>'F9.2'!D44</f>
        <v>6.2196158915476731</v>
      </c>
      <c r="E40" s="302">
        <f>'F9.2'!E44</f>
        <v>0</v>
      </c>
      <c r="F40" s="302">
        <f>'F9.2'!F44</f>
        <v>0</v>
      </c>
      <c r="G40" s="302">
        <f>'F9.2'!G44</f>
        <v>1310.8034994301615</v>
      </c>
      <c r="H40" s="556">
        <f>'F9.2'!H44</f>
        <v>1</v>
      </c>
      <c r="I40" s="302">
        <f>'F9.2'!I44</f>
        <v>0</v>
      </c>
      <c r="J40" s="302">
        <f ca="1">'F9.2'!J44</f>
        <v>330.32227367698931</v>
      </c>
      <c r="K40" s="302">
        <f>'F9.2'!K44</f>
        <v>815.2694275752134</v>
      </c>
      <c r="L40" s="302">
        <f>'F9.2'!L44</f>
        <v>0</v>
      </c>
      <c r="M40" s="302">
        <f>'F9.2'!M44</f>
        <v>0</v>
      </c>
      <c r="N40" s="302">
        <f ca="1">SUM(J40:M40)</f>
        <v>1145.5917012522027</v>
      </c>
    </row>
    <row r="41" spans="2:14" x14ac:dyDescent="0.3">
      <c r="B41" s="102"/>
      <c r="C41" s="24"/>
      <c r="D41" s="24"/>
      <c r="E41" s="24"/>
      <c r="F41" s="24"/>
      <c r="G41" s="24"/>
      <c r="H41" s="24"/>
      <c r="I41" s="24"/>
      <c r="J41" s="24"/>
      <c r="K41" s="24"/>
      <c r="L41" s="24"/>
      <c r="M41" s="24"/>
      <c r="N41" s="24"/>
    </row>
    <row r="42" spans="2:14" x14ac:dyDescent="0.3">
      <c r="B42" s="237" t="s">
        <v>271</v>
      </c>
      <c r="C42" s="330"/>
      <c r="D42" s="330"/>
      <c r="E42" s="330"/>
      <c r="F42" s="330"/>
      <c r="G42" s="330">
        <f>SUM(G40:G41)</f>
        <v>1310.8034994301615</v>
      </c>
      <c r="H42" s="330"/>
      <c r="I42" s="330"/>
      <c r="J42" s="330">
        <f ca="1">SUM(J40:J41)</f>
        <v>330.32227367698931</v>
      </c>
      <c r="K42" s="330">
        <f>SUM(K40:K41)</f>
        <v>815.2694275752134</v>
      </c>
      <c r="L42" s="330">
        <f>SUM(L40:L41)</f>
        <v>0</v>
      </c>
      <c r="M42" s="330">
        <f>SUM(M40:M41)</f>
        <v>0</v>
      </c>
      <c r="N42" s="330">
        <f ca="1">SUM(N40:N41)</f>
        <v>1145.5917012522027</v>
      </c>
    </row>
    <row r="44" spans="2:14" x14ac:dyDescent="0.3">
      <c r="B44" s="63" t="s">
        <v>1071</v>
      </c>
      <c r="N44" s="233"/>
    </row>
    <row r="45" spans="2:14" x14ac:dyDescent="0.3">
      <c r="B45" s="63"/>
      <c r="N45" s="42" t="s">
        <v>10</v>
      </c>
    </row>
    <row r="46" spans="2:14" x14ac:dyDescent="0.3">
      <c r="B46" s="1603" t="s">
        <v>278</v>
      </c>
      <c r="C46" s="1641" t="s">
        <v>294</v>
      </c>
      <c r="D46" s="1641"/>
      <c r="E46" s="1641"/>
      <c r="F46" s="1641"/>
      <c r="G46" s="1639" t="s">
        <v>295</v>
      </c>
      <c r="H46" s="1639"/>
      <c r="I46" s="1639"/>
      <c r="J46" s="1793" t="s">
        <v>296</v>
      </c>
      <c r="K46" s="1793"/>
      <c r="L46" s="1793"/>
      <c r="M46" s="1793"/>
      <c r="N46" s="1793"/>
    </row>
    <row r="47" spans="2:14" ht="70" x14ac:dyDescent="0.3">
      <c r="B47" s="1603"/>
      <c r="C47" s="688" t="s">
        <v>347</v>
      </c>
      <c r="D47" s="688" t="s">
        <v>345</v>
      </c>
      <c r="E47" s="688" t="s">
        <v>743</v>
      </c>
      <c r="F47" s="688" t="s">
        <v>346</v>
      </c>
      <c r="G47" s="688" t="s">
        <v>297</v>
      </c>
      <c r="H47" s="688" t="s">
        <v>744</v>
      </c>
      <c r="I47" s="688" t="s">
        <v>298</v>
      </c>
      <c r="J47" s="688" t="s">
        <v>299</v>
      </c>
      <c r="K47" s="688" t="s">
        <v>300</v>
      </c>
      <c r="L47" s="688" t="s">
        <v>745</v>
      </c>
      <c r="M47" s="688" t="s">
        <v>746</v>
      </c>
      <c r="N47" s="689" t="s">
        <v>271</v>
      </c>
    </row>
    <row r="48" spans="2:14" x14ac:dyDescent="0.3">
      <c r="B48" s="234"/>
      <c r="C48" s="235"/>
      <c r="D48" s="235"/>
      <c r="E48" s="235"/>
      <c r="F48" s="235"/>
      <c r="G48" s="235"/>
      <c r="H48" s="235"/>
      <c r="I48" s="235"/>
      <c r="J48" s="235"/>
      <c r="K48" s="235"/>
      <c r="L48" s="235"/>
      <c r="M48" s="235"/>
      <c r="N48" s="236"/>
    </row>
    <row r="49" spans="2:14" x14ac:dyDescent="0.3">
      <c r="B49" s="142" t="s">
        <v>782</v>
      </c>
      <c r="C49" s="302">
        <f ca="1">'F9.2'!C54</f>
        <v>341.81948931583838</v>
      </c>
      <c r="D49" s="302">
        <f>'F9.2'!D54</f>
        <v>6.5305966861250555</v>
      </c>
      <c r="E49" s="302">
        <f>'F9.2'!E54</f>
        <v>0</v>
      </c>
      <c r="F49" s="302">
        <f>'F9.2'!F54</f>
        <v>0</v>
      </c>
      <c r="G49" s="302">
        <f>'F9.2'!G54</f>
        <v>1310.8034994301615</v>
      </c>
      <c r="H49" s="556">
        <f>'F9.2'!H54</f>
        <v>1</v>
      </c>
      <c r="I49" s="302">
        <f>'F9.2'!I54</f>
        <v>0</v>
      </c>
      <c r="J49" s="302">
        <f ca="1">'F9.2'!J54</f>
        <v>341.81948931583838</v>
      </c>
      <c r="K49" s="302">
        <f>'F9.2'!K54</f>
        <v>856.03289895397393</v>
      </c>
      <c r="L49" s="302">
        <f>'F9.2'!L54</f>
        <v>0</v>
      </c>
      <c r="M49" s="302">
        <f>'F9.2'!M54</f>
        <v>0</v>
      </c>
      <c r="N49" s="302">
        <f ca="1">'F9.2'!N54</f>
        <v>1197.8523882698123</v>
      </c>
    </row>
    <row r="50" spans="2:14" x14ac:dyDescent="0.3">
      <c r="B50" s="102"/>
      <c r="C50" s="24"/>
      <c r="D50" s="24"/>
      <c r="E50" s="24"/>
      <c r="F50" s="24"/>
      <c r="G50" s="24"/>
      <c r="H50" s="24"/>
      <c r="I50" s="24"/>
      <c r="J50" s="24"/>
      <c r="K50" s="24"/>
      <c r="L50" s="24"/>
      <c r="M50" s="24"/>
      <c r="N50" s="24"/>
    </row>
    <row r="51" spans="2:14" x14ac:dyDescent="0.3">
      <c r="B51" s="237" t="s">
        <v>271</v>
      </c>
      <c r="C51" s="330"/>
      <c r="D51" s="330"/>
      <c r="E51" s="330"/>
      <c r="F51" s="330"/>
      <c r="G51" s="330">
        <f>SUM(G49:G50)</f>
        <v>1310.8034994301615</v>
      </c>
      <c r="H51" s="330"/>
      <c r="I51" s="330"/>
      <c r="J51" s="330">
        <f ca="1">SUM(J49:J50)</f>
        <v>341.81948931583838</v>
      </c>
      <c r="K51" s="330">
        <f>SUM(K49:K50)</f>
        <v>856.03289895397393</v>
      </c>
      <c r="L51" s="330">
        <f>SUM(L49:L50)</f>
        <v>0</v>
      </c>
      <c r="M51" s="330">
        <f>SUM(M49:M50)</f>
        <v>0</v>
      </c>
      <c r="N51" s="330">
        <f ca="1">SUM(N49:N50)</f>
        <v>1197.8523882698123</v>
      </c>
    </row>
  </sheetData>
  <mergeCells count="23">
    <mergeCell ref="B46:B47"/>
    <mergeCell ref="C46:F46"/>
    <mergeCell ref="G46:I46"/>
    <mergeCell ref="J46:N46"/>
    <mergeCell ref="B28:B29"/>
    <mergeCell ref="C28:F28"/>
    <mergeCell ref="G28:I28"/>
    <mergeCell ref="J28:N28"/>
    <mergeCell ref="B37:B38"/>
    <mergeCell ref="C37:F37"/>
    <mergeCell ref="G37:I37"/>
    <mergeCell ref="J37:N37"/>
    <mergeCell ref="B19:B20"/>
    <mergeCell ref="C19:F19"/>
    <mergeCell ref="G19:I19"/>
    <mergeCell ref="J19:N19"/>
    <mergeCell ref="B2:N2"/>
    <mergeCell ref="B3:N3"/>
    <mergeCell ref="B4:N4"/>
    <mergeCell ref="B8:B9"/>
    <mergeCell ref="C8:F8"/>
    <mergeCell ref="G8:I8"/>
    <mergeCell ref="J8:N8"/>
  </mergeCells>
  <pageMargins left="0.7" right="0.7" top="0.75" bottom="0.75" header="0.3" footer="0.3"/>
  <pageSetup paperSize="9" scale="4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pageSetUpPr fitToPage="1"/>
  </sheetPr>
  <dimension ref="B2:O56"/>
  <sheetViews>
    <sheetView showGridLines="0" view="pageBreakPreview" topLeftCell="A17" zoomScale="70" zoomScaleNormal="80" zoomScaleSheetLayoutView="70" workbookViewId="0">
      <selection activeCell="C34" sqref="C34"/>
    </sheetView>
  </sheetViews>
  <sheetFormatPr defaultColWidth="8.6328125" defaultRowHeight="13" x14ac:dyDescent="0.3"/>
  <cols>
    <col min="1" max="1" width="8.6328125" style="89"/>
    <col min="2" max="2" width="13.6328125" style="89" customWidth="1"/>
    <col min="3" max="3" width="14" style="89" customWidth="1"/>
    <col min="4" max="4" width="10.54296875" style="89" customWidth="1"/>
    <col min="5" max="5" width="12.36328125" style="89" customWidth="1"/>
    <col min="6" max="6" width="13.36328125" style="89" customWidth="1"/>
    <col min="7" max="9" width="10" style="89" customWidth="1"/>
    <col min="10" max="11" width="11.453125" style="89" customWidth="1"/>
    <col min="12" max="12" width="14.54296875" style="89" customWidth="1"/>
    <col min="13" max="13" width="11.453125" style="89" customWidth="1"/>
    <col min="14" max="14" width="10" style="89" customWidth="1"/>
    <col min="15" max="16384" width="8.6328125" style="89"/>
  </cols>
  <sheetData>
    <row r="2" spans="2:15" ht="14" x14ac:dyDescent="0.3">
      <c r="B2" s="1598" t="str">
        <f>Index!B2</f>
        <v xml:space="preserve">      Maharashtra State Power Generation Company Ltd.</v>
      </c>
      <c r="C2" s="1598"/>
      <c r="D2" s="1598"/>
      <c r="E2" s="1598"/>
      <c r="F2" s="1598"/>
      <c r="G2" s="1598"/>
      <c r="H2" s="1598"/>
      <c r="I2" s="1598"/>
      <c r="J2" s="1598"/>
      <c r="K2" s="1598"/>
      <c r="L2" s="1598"/>
      <c r="M2" s="1598"/>
      <c r="N2" s="1598"/>
    </row>
    <row r="3" spans="2:15" ht="14" x14ac:dyDescent="0.3">
      <c r="B3" s="1598" t="str">
        <f>Index!B3</f>
        <v>MYT Petition Formats for Bhusawal Unit 3</v>
      </c>
      <c r="C3" s="1598"/>
      <c r="D3" s="1598"/>
      <c r="E3" s="1598"/>
      <c r="F3" s="1598"/>
      <c r="G3" s="1598"/>
      <c r="H3" s="1598"/>
      <c r="I3" s="1598"/>
      <c r="J3" s="1598"/>
      <c r="K3" s="1598"/>
      <c r="L3" s="1598"/>
      <c r="M3" s="1598"/>
      <c r="N3" s="1598"/>
    </row>
    <row r="4" spans="2:15" ht="14" x14ac:dyDescent="0.3">
      <c r="B4" s="1795" t="s">
        <v>423</v>
      </c>
      <c r="C4" s="1795"/>
      <c r="D4" s="1795"/>
      <c r="E4" s="1795"/>
      <c r="F4" s="1795"/>
      <c r="G4" s="1795"/>
      <c r="H4" s="1795"/>
      <c r="I4" s="1795"/>
      <c r="J4" s="1795"/>
      <c r="K4" s="1795"/>
      <c r="L4" s="1795"/>
      <c r="M4" s="1795"/>
      <c r="N4" s="1795"/>
    </row>
    <row r="5" spans="2:15" ht="14" x14ac:dyDescent="0.3">
      <c r="B5" s="83"/>
      <c r="C5" s="83"/>
      <c r="D5" s="83"/>
      <c r="E5" s="83"/>
      <c r="F5" s="83"/>
      <c r="G5" s="83"/>
      <c r="H5" s="83"/>
      <c r="I5" s="83"/>
      <c r="J5" s="83"/>
      <c r="K5" s="83"/>
      <c r="L5" s="83"/>
      <c r="M5" s="83"/>
      <c r="N5" s="83"/>
    </row>
    <row r="6" spans="2:15" ht="14" x14ac:dyDescent="0.3">
      <c r="B6" s="83"/>
      <c r="C6" s="83"/>
      <c r="D6" s="83"/>
      <c r="E6" s="83"/>
      <c r="F6" s="83"/>
      <c r="G6" s="83"/>
      <c r="H6" s="83"/>
      <c r="I6" s="83"/>
      <c r="J6" s="83"/>
      <c r="K6" s="83"/>
      <c r="L6" s="83"/>
      <c r="M6" s="83"/>
      <c r="N6" s="83"/>
    </row>
    <row r="7" spans="2:15" ht="14" x14ac:dyDescent="0.3">
      <c r="B7" s="63" t="s">
        <v>1107</v>
      </c>
      <c r="N7" s="110"/>
    </row>
    <row r="8" spans="2:15" ht="14" x14ac:dyDescent="0.3">
      <c r="B8" s="63"/>
      <c r="N8" s="110" t="s">
        <v>10</v>
      </c>
    </row>
    <row r="9" spans="2:15" s="111" customFormat="1" ht="33" customHeight="1" x14ac:dyDescent="0.25">
      <c r="B9" s="1792" t="s">
        <v>278</v>
      </c>
      <c r="C9" s="1641" t="s">
        <v>294</v>
      </c>
      <c r="D9" s="1641"/>
      <c r="E9" s="1641"/>
      <c r="F9" s="1641"/>
      <c r="G9" s="1639" t="s">
        <v>295</v>
      </c>
      <c r="H9" s="1639"/>
      <c r="I9" s="1639"/>
      <c r="J9" s="1793" t="s">
        <v>296</v>
      </c>
      <c r="K9" s="1793"/>
      <c r="L9" s="1793"/>
      <c r="M9" s="1793"/>
      <c r="N9" s="1793"/>
    </row>
    <row r="10" spans="2:15" ht="72" customHeight="1" x14ac:dyDescent="0.3">
      <c r="B10" s="1792"/>
      <c r="C10" s="299" t="s">
        <v>347</v>
      </c>
      <c r="D10" s="299" t="s">
        <v>345</v>
      </c>
      <c r="E10" s="299" t="s">
        <v>743</v>
      </c>
      <c r="F10" s="299" t="s">
        <v>346</v>
      </c>
      <c r="G10" s="299" t="s">
        <v>297</v>
      </c>
      <c r="H10" s="299" t="s">
        <v>744</v>
      </c>
      <c r="I10" s="299" t="s">
        <v>298</v>
      </c>
      <c r="J10" s="299" t="s">
        <v>299</v>
      </c>
      <c r="K10" s="299" t="s">
        <v>300</v>
      </c>
      <c r="L10" s="299" t="s">
        <v>745</v>
      </c>
      <c r="M10" s="299" t="s">
        <v>746</v>
      </c>
      <c r="N10" s="300" t="s">
        <v>271</v>
      </c>
    </row>
    <row r="11" spans="2:15" ht="14.25" customHeight="1" x14ac:dyDescent="0.3">
      <c r="B11" s="105"/>
      <c r="C11" s="106"/>
      <c r="D11" s="106"/>
      <c r="E11" s="106"/>
      <c r="F11" s="106"/>
      <c r="G11" s="106"/>
      <c r="H11" s="106"/>
      <c r="I11" s="106"/>
      <c r="J11" s="106"/>
      <c r="K11" s="106"/>
      <c r="L11" s="106"/>
      <c r="M11" s="106"/>
      <c r="N11" s="107"/>
    </row>
    <row r="12" spans="2:15" ht="14.25" customHeight="1" x14ac:dyDescent="0.3">
      <c r="B12" s="142" t="s">
        <v>782</v>
      </c>
      <c r="C12" s="329">
        <f ca="1">'F1'!S27-'F1'!S11</f>
        <v>211.27773258664399</v>
      </c>
      <c r="D12" s="329">
        <f>'F2.2'!S157</f>
        <v>5.3727351888739285</v>
      </c>
      <c r="E12" s="108"/>
      <c r="F12" s="108"/>
      <c r="G12" s="329">
        <f>'F2.2'!S37</f>
        <v>1310.85228633567</v>
      </c>
      <c r="H12" s="440">
        <v>1</v>
      </c>
      <c r="I12" s="108"/>
      <c r="J12" s="329">
        <f ca="1">C12</f>
        <v>211.27773258664399</v>
      </c>
      <c r="K12" s="329">
        <f>G12*D12/10</f>
        <v>704.28622062114971</v>
      </c>
      <c r="L12" s="329"/>
      <c r="M12" s="329"/>
      <c r="N12" s="327">
        <f ca="1">SUM(J12:M12)</f>
        <v>915.5639532077937</v>
      </c>
    </row>
    <row r="13" spans="2:15" ht="14.25" customHeight="1" x14ac:dyDescent="0.3">
      <c r="B13" s="102"/>
      <c r="C13" s="108"/>
      <c r="D13" s="108"/>
      <c r="E13" s="108"/>
      <c r="F13" s="108"/>
      <c r="G13" s="108"/>
      <c r="H13" s="108"/>
      <c r="I13" s="108"/>
      <c r="J13" s="108"/>
      <c r="K13" s="108"/>
      <c r="L13" s="108"/>
      <c r="M13" s="108"/>
      <c r="N13" s="327">
        <f>SUM(J13:M13)</f>
        <v>0</v>
      </c>
    </row>
    <row r="14" spans="2:15" ht="14" x14ac:dyDescent="0.3">
      <c r="B14" s="102" t="s">
        <v>271</v>
      </c>
      <c r="C14" s="350"/>
      <c r="D14" s="350"/>
      <c r="E14" s="350"/>
      <c r="F14" s="350"/>
      <c r="G14" s="350">
        <f>SUM(G12:G13)</f>
        <v>1310.85228633567</v>
      </c>
      <c r="H14" s="350"/>
      <c r="I14" s="350"/>
      <c r="J14" s="350">
        <f ca="1">SUM(J12:J13)</f>
        <v>211.27773258664399</v>
      </c>
      <c r="K14" s="350">
        <f>SUM(K12:K13)</f>
        <v>704.28622062114971</v>
      </c>
      <c r="L14" s="350">
        <f>SUM(L12:L13)</f>
        <v>0</v>
      </c>
      <c r="M14" s="350">
        <f>SUM(M12:M13)</f>
        <v>0</v>
      </c>
      <c r="N14" s="350">
        <f ca="1">SUM(N12:N13)</f>
        <v>915.5639532077937</v>
      </c>
      <c r="O14" s="331"/>
    </row>
    <row r="17" spans="2:14" ht="2.75" customHeight="1" x14ac:dyDescent="0.3"/>
    <row r="18" spans="2:14" ht="14" x14ac:dyDescent="0.3">
      <c r="B18" s="63" t="s">
        <v>1108</v>
      </c>
    </row>
    <row r="19" spans="2:14" ht="14" x14ac:dyDescent="0.3">
      <c r="B19" s="63"/>
      <c r="N19" s="110" t="s">
        <v>10</v>
      </c>
    </row>
    <row r="20" spans="2:14" ht="13.25" customHeight="1" x14ac:dyDescent="0.3">
      <c r="B20" s="1792" t="s">
        <v>278</v>
      </c>
      <c r="C20" s="1641" t="s">
        <v>294</v>
      </c>
      <c r="D20" s="1641"/>
      <c r="E20" s="1641"/>
      <c r="F20" s="1641"/>
      <c r="G20" s="1639" t="s">
        <v>295</v>
      </c>
      <c r="H20" s="1639"/>
      <c r="I20" s="1639"/>
      <c r="J20" s="1793" t="s">
        <v>296</v>
      </c>
      <c r="K20" s="1793"/>
      <c r="L20" s="1793"/>
      <c r="M20" s="1793"/>
      <c r="N20" s="1793"/>
    </row>
    <row r="21" spans="2:14" ht="69" customHeight="1" x14ac:dyDescent="0.3">
      <c r="B21" s="1792"/>
      <c r="C21" s="299" t="s">
        <v>347</v>
      </c>
      <c r="D21" s="299" t="s">
        <v>345</v>
      </c>
      <c r="E21" s="299" t="s">
        <v>743</v>
      </c>
      <c r="F21" s="299" t="s">
        <v>346</v>
      </c>
      <c r="G21" s="299" t="s">
        <v>297</v>
      </c>
      <c r="H21" s="299" t="s">
        <v>744</v>
      </c>
      <c r="I21" s="299" t="s">
        <v>298</v>
      </c>
      <c r="J21" s="299" t="s">
        <v>299</v>
      </c>
      <c r="K21" s="299" t="s">
        <v>300</v>
      </c>
      <c r="L21" s="299" t="s">
        <v>745</v>
      </c>
      <c r="M21" s="299" t="s">
        <v>746</v>
      </c>
      <c r="N21" s="300" t="s">
        <v>271</v>
      </c>
    </row>
    <row r="22" spans="2:14" x14ac:dyDescent="0.3">
      <c r="B22" s="105"/>
      <c r="C22" s="106"/>
      <c r="D22" s="106"/>
      <c r="E22" s="106"/>
      <c r="F22" s="106"/>
      <c r="G22" s="106"/>
      <c r="H22" s="106"/>
      <c r="I22" s="106"/>
      <c r="J22" s="106"/>
      <c r="K22" s="106"/>
      <c r="L22" s="106"/>
      <c r="M22" s="106"/>
      <c r="N22" s="107"/>
    </row>
    <row r="23" spans="2:14" ht="14" x14ac:dyDescent="0.3">
      <c r="B23" s="142" t="s">
        <v>782</v>
      </c>
      <c r="C23" s="328">
        <f ca="1">'F1'!T27-'F1'!T11</f>
        <v>227.31601549740105</v>
      </c>
      <c r="D23" s="328">
        <f>'F2.2'!$T$157</f>
        <v>5.6413749583198838</v>
      </c>
      <c r="E23" s="328"/>
      <c r="F23" s="108"/>
      <c r="G23" s="329">
        <f>'F2.2'!$T$37</f>
        <v>1310.8034994301615</v>
      </c>
      <c r="H23" s="440">
        <v>1</v>
      </c>
      <c r="I23" s="108"/>
      <c r="J23" s="329">
        <f ca="1">C23</f>
        <v>227.31601549740105</v>
      </c>
      <c r="K23" s="329">
        <f>G23*D23/10</f>
        <v>739.47340369633855</v>
      </c>
      <c r="L23" s="329"/>
      <c r="M23" s="329"/>
      <c r="N23" s="327">
        <f ca="1">SUM(J23:M23)</f>
        <v>966.7894191937396</v>
      </c>
    </row>
    <row r="24" spans="2:14" ht="14" x14ac:dyDescent="0.3">
      <c r="B24" s="102"/>
      <c r="C24" s="108"/>
      <c r="D24" s="108"/>
      <c r="E24" s="108"/>
      <c r="F24" s="108"/>
      <c r="G24" s="108"/>
      <c r="H24" s="108"/>
      <c r="I24" s="108"/>
      <c r="J24" s="108"/>
      <c r="K24" s="108"/>
      <c r="L24" s="108"/>
      <c r="M24" s="108"/>
      <c r="N24" s="327">
        <f>SUM(J24:M24)</f>
        <v>0</v>
      </c>
    </row>
    <row r="25" spans="2:14" ht="14" x14ac:dyDescent="0.3">
      <c r="B25" s="102" t="s">
        <v>271</v>
      </c>
      <c r="C25" s="350"/>
      <c r="D25" s="350"/>
      <c r="E25" s="350"/>
      <c r="F25" s="350"/>
      <c r="G25" s="350">
        <f>SUM(G23:G24)</f>
        <v>1310.8034994301615</v>
      </c>
      <c r="H25" s="350"/>
      <c r="I25" s="350"/>
      <c r="J25" s="350">
        <f ca="1">SUM(J23:J24)</f>
        <v>227.31601549740105</v>
      </c>
      <c r="K25" s="350">
        <f>SUM(K23:K24)</f>
        <v>739.47340369633855</v>
      </c>
      <c r="L25" s="350">
        <f>SUM(L23:L24)</f>
        <v>0</v>
      </c>
      <c r="M25" s="350">
        <f>SUM(M23:M24)</f>
        <v>0</v>
      </c>
      <c r="N25" s="350">
        <f ca="1">SUM(N23:N24)</f>
        <v>966.7894191937396</v>
      </c>
    </row>
    <row r="29" spans="2:14" ht="14" x14ac:dyDescent="0.3">
      <c r="B29" s="63" t="s">
        <v>1109</v>
      </c>
    </row>
    <row r="30" spans="2:14" ht="14" x14ac:dyDescent="0.3">
      <c r="B30" s="63"/>
      <c r="N30" s="110" t="s">
        <v>10</v>
      </c>
    </row>
    <row r="31" spans="2:14" ht="29.75" customHeight="1" x14ac:dyDescent="0.3">
      <c r="B31" s="1792" t="s">
        <v>278</v>
      </c>
      <c r="C31" s="1641" t="s">
        <v>294</v>
      </c>
      <c r="D31" s="1641"/>
      <c r="E31" s="1641"/>
      <c r="F31" s="1641"/>
      <c r="G31" s="1639" t="s">
        <v>295</v>
      </c>
      <c r="H31" s="1639"/>
      <c r="I31" s="1639"/>
      <c r="J31" s="1793" t="s">
        <v>296</v>
      </c>
      <c r="K31" s="1793"/>
      <c r="L31" s="1793"/>
      <c r="M31" s="1793"/>
      <c r="N31" s="1793"/>
    </row>
    <row r="32" spans="2:14" ht="65.25" customHeight="1" x14ac:dyDescent="0.3">
      <c r="B32" s="1792"/>
      <c r="C32" s="299" t="s">
        <v>347</v>
      </c>
      <c r="D32" s="299" t="s">
        <v>345</v>
      </c>
      <c r="E32" s="299" t="s">
        <v>743</v>
      </c>
      <c r="F32" s="299" t="s">
        <v>346</v>
      </c>
      <c r="G32" s="299" t="s">
        <v>297</v>
      </c>
      <c r="H32" s="299" t="s">
        <v>744</v>
      </c>
      <c r="I32" s="299" t="s">
        <v>298</v>
      </c>
      <c r="J32" s="299" t="s">
        <v>299</v>
      </c>
      <c r="K32" s="299" t="s">
        <v>300</v>
      </c>
      <c r="L32" s="299" t="s">
        <v>745</v>
      </c>
      <c r="M32" s="299" t="s">
        <v>746</v>
      </c>
      <c r="N32" s="300" t="s">
        <v>271</v>
      </c>
    </row>
    <row r="33" spans="2:14" x14ac:dyDescent="0.3">
      <c r="B33" s="105"/>
      <c r="C33" s="106"/>
      <c r="D33" s="106"/>
      <c r="E33" s="106"/>
      <c r="F33" s="106"/>
      <c r="G33" s="106"/>
      <c r="H33" s="106"/>
      <c r="I33" s="106"/>
      <c r="J33" s="106"/>
      <c r="K33" s="106"/>
      <c r="L33" s="106"/>
      <c r="M33" s="106"/>
      <c r="N33" s="107"/>
    </row>
    <row r="34" spans="2:14" ht="14" x14ac:dyDescent="0.3">
      <c r="B34" s="142" t="s">
        <v>782</v>
      </c>
      <c r="C34" s="329">
        <f ca="1">'F1'!U27-'F1'!U11</f>
        <v>320.12600996787069</v>
      </c>
      <c r="D34" s="329">
        <f>'F2.2'!$U$157</f>
        <v>5.9234437062358793</v>
      </c>
      <c r="E34" s="329"/>
      <c r="F34" s="108"/>
      <c r="G34" s="329">
        <f>'F2.2'!$U$37</f>
        <v>1310.8034994301615</v>
      </c>
      <c r="H34" s="440">
        <v>1</v>
      </c>
      <c r="I34" s="108"/>
      <c r="J34" s="329">
        <f ca="1">C34</f>
        <v>320.12600996787069</v>
      </c>
      <c r="K34" s="329">
        <f>G34*D34/10</f>
        <v>776.44707388115569</v>
      </c>
      <c r="L34" s="329"/>
      <c r="M34" s="329"/>
      <c r="N34" s="327">
        <f ca="1">SUM(J34:M34)</f>
        <v>1096.5730838490263</v>
      </c>
    </row>
    <row r="35" spans="2:14" ht="14" x14ac:dyDescent="0.3">
      <c r="B35" s="102"/>
      <c r="C35" s="108"/>
      <c r="D35" s="108"/>
      <c r="E35" s="108"/>
      <c r="F35" s="108"/>
      <c r="G35" s="108"/>
      <c r="H35" s="108"/>
      <c r="I35" s="108"/>
      <c r="J35" s="108"/>
      <c r="K35" s="108"/>
      <c r="L35" s="108"/>
      <c r="M35" s="108"/>
      <c r="N35" s="327">
        <f>SUM(J35:M35)</f>
        <v>0</v>
      </c>
    </row>
    <row r="36" spans="2:14" ht="14" x14ac:dyDescent="0.3">
      <c r="B36" s="102" t="s">
        <v>271</v>
      </c>
      <c r="C36" s="350"/>
      <c r="D36" s="350"/>
      <c r="E36" s="350"/>
      <c r="F36" s="350"/>
      <c r="G36" s="350">
        <f>SUM(G34:G35)</f>
        <v>1310.8034994301615</v>
      </c>
      <c r="H36" s="350"/>
      <c r="I36" s="350"/>
      <c r="J36" s="350">
        <f ca="1">SUM(J34:J35)</f>
        <v>320.12600996787069</v>
      </c>
      <c r="K36" s="350">
        <f>SUM(K34:K35)</f>
        <v>776.44707388115569</v>
      </c>
      <c r="L36" s="350">
        <f>SUM(L34:L35)</f>
        <v>0</v>
      </c>
      <c r="M36" s="350">
        <f>SUM(M34:M35)</f>
        <v>0</v>
      </c>
      <c r="N36" s="350">
        <f ca="1">SUM(N34:N35)</f>
        <v>1096.5730838490263</v>
      </c>
    </row>
    <row r="37" spans="2:14" ht="14" x14ac:dyDescent="0.3">
      <c r="B37" s="231"/>
      <c r="C37" s="73"/>
      <c r="D37" s="73"/>
      <c r="E37" s="73"/>
      <c r="F37" s="73"/>
      <c r="G37" s="73"/>
      <c r="H37" s="73"/>
      <c r="I37" s="73"/>
      <c r="J37" s="73"/>
      <c r="K37" s="73"/>
      <c r="L37" s="73"/>
      <c r="M37" s="73"/>
      <c r="N37" s="73"/>
    </row>
    <row r="38" spans="2:14" ht="14" x14ac:dyDescent="0.3">
      <c r="B38" s="231"/>
      <c r="C38" s="73"/>
      <c r="D38" s="73"/>
      <c r="E38" s="73"/>
      <c r="F38" s="73"/>
      <c r="G38" s="73"/>
      <c r="H38" s="73"/>
      <c r="I38" s="73"/>
      <c r="J38" s="73"/>
      <c r="K38" s="73"/>
      <c r="L38" s="73"/>
      <c r="M38" s="73"/>
      <c r="N38" s="73"/>
    </row>
    <row r="39" spans="2:14" ht="14" x14ac:dyDescent="0.3">
      <c r="B39" s="63" t="s">
        <v>1110</v>
      </c>
    </row>
    <row r="40" spans="2:14" ht="14" x14ac:dyDescent="0.3">
      <c r="B40" s="63"/>
      <c r="N40" s="110" t="s">
        <v>10</v>
      </c>
    </row>
    <row r="41" spans="2:14" ht="14" x14ac:dyDescent="0.3">
      <c r="B41" s="1792" t="s">
        <v>278</v>
      </c>
      <c r="C41" s="1641" t="s">
        <v>294</v>
      </c>
      <c r="D41" s="1641"/>
      <c r="E41" s="1641"/>
      <c r="F41" s="1641"/>
      <c r="G41" s="1639" t="s">
        <v>295</v>
      </c>
      <c r="H41" s="1639"/>
      <c r="I41" s="1639"/>
      <c r="J41" s="1793" t="s">
        <v>296</v>
      </c>
      <c r="K41" s="1793"/>
      <c r="L41" s="1793"/>
      <c r="M41" s="1793"/>
      <c r="N41" s="1793"/>
    </row>
    <row r="42" spans="2:14" ht="70" x14ac:dyDescent="0.3">
      <c r="B42" s="1792"/>
      <c r="C42" s="688" t="s">
        <v>347</v>
      </c>
      <c r="D42" s="688" t="s">
        <v>345</v>
      </c>
      <c r="E42" s="688" t="s">
        <v>743</v>
      </c>
      <c r="F42" s="688" t="s">
        <v>346</v>
      </c>
      <c r="G42" s="688" t="s">
        <v>297</v>
      </c>
      <c r="H42" s="688" t="s">
        <v>744</v>
      </c>
      <c r="I42" s="688" t="s">
        <v>298</v>
      </c>
      <c r="J42" s="688" t="s">
        <v>299</v>
      </c>
      <c r="K42" s="688" t="s">
        <v>300</v>
      </c>
      <c r="L42" s="688" t="s">
        <v>745</v>
      </c>
      <c r="M42" s="688" t="s">
        <v>746</v>
      </c>
      <c r="N42" s="689" t="s">
        <v>271</v>
      </c>
    </row>
    <row r="43" spans="2:14" x14ac:dyDescent="0.3">
      <c r="B43" s="105"/>
      <c r="C43" s="106"/>
      <c r="D43" s="106"/>
      <c r="E43" s="106"/>
      <c r="F43" s="106"/>
      <c r="G43" s="106"/>
      <c r="H43" s="106"/>
      <c r="I43" s="106"/>
      <c r="J43" s="106"/>
      <c r="K43" s="106"/>
      <c r="L43" s="106"/>
      <c r="M43" s="106"/>
      <c r="N43" s="107"/>
    </row>
    <row r="44" spans="2:14" ht="14" x14ac:dyDescent="0.3">
      <c r="B44" s="142" t="s">
        <v>782</v>
      </c>
      <c r="C44" s="329">
        <f ca="1">'F1'!V27-'F1'!V11</f>
        <v>330.32227367698931</v>
      </c>
      <c r="D44" s="329">
        <f>'F2.2'!$V$157</f>
        <v>6.2196158915476731</v>
      </c>
      <c r="E44" s="329"/>
      <c r="F44" s="108"/>
      <c r="G44" s="329">
        <f>'F2.2'!$V$37</f>
        <v>1310.8034994301615</v>
      </c>
      <c r="H44" s="440">
        <v>1</v>
      </c>
      <c r="I44" s="108"/>
      <c r="J44" s="329">
        <f ca="1">C44</f>
        <v>330.32227367698931</v>
      </c>
      <c r="K44" s="329">
        <f>G44*D44/10</f>
        <v>815.2694275752134</v>
      </c>
      <c r="L44" s="329"/>
      <c r="M44" s="329"/>
      <c r="N44" s="327">
        <f ca="1">SUM(J44:M44)</f>
        <v>1145.5917012522027</v>
      </c>
    </row>
    <row r="45" spans="2:14" ht="14" x14ac:dyDescent="0.3">
      <c r="B45" s="102"/>
      <c r="C45" s="108"/>
      <c r="D45" s="108"/>
      <c r="E45" s="108"/>
      <c r="F45" s="108"/>
      <c r="G45" s="108"/>
      <c r="H45" s="108"/>
      <c r="I45" s="108"/>
      <c r="J45" s="108"/>
      <c r="K45" s="108"/>
      <c r="L45" s="108"/>
      <c r="M45" s="108"/>
      <c r="N45" s="327">
        <f>SUM(J45:M45)</f>
        <v>0</v>
      </c>
    </row>
    <row r="46" spans="2:14" ht="14" x14ac:dyDescent="0.3">
      <c r="B46" s="102" t="s">
        <v>271</v>
      </c>
      <c r="C46" s="350"/>
      <c r="D46" s="350"/>
      <c r="E46" s="350"/>
      <c r="F46" s="350"/>
      <c r="G46" s="350">
        <f>SUM(G44:G45)</f>
        <v>1310.8034994301615</v>
      </c>
      <c r="H46" s="350"/>
      <c r="I46" s="350"/>
      <c r="J46" s="350">
        <f ca="1">SUM(J44:J45)</f>
        <v>330.32227367698931</v>
      </c>
      <c r="K46" s="350">
        <f>SUM(K44:K45)</f>
        <v>815.2694275752134</v>
      </c>
      <c r="L46" s="350">
        <f>SUM(L44:L45)</f>
        <v>0</v>
      </c>
      <c r="M46" s="350">
        <f>SUM(M44:M45)</f>
        <v>0</v>
      </c>
      <c r="N46" s="350">
        <f ca="1">SUM(N44:N45)</f>
        <v>1145.5917012522027</v>
      </c>
    </row>
    <row r="49" spans="2:14" ht="14" x14ac:dyDescent="0.3">
      <c r="B49" s="63" t="s">
        <v>1111</v>
      </c>
    </row>
    <row r="50" spans="2:14" ht="14" x14ac:dyDescent="0.3">
      <c r="B50" s="63"/>
      <c r="N50" s="110" t="s">
        <v>10</v>
      </c>
    </row>
    <row r="51" spans="2:14" ht="14" x14ac:dyDescent="0.3">
      <c r="B51" s="1792" t="s">
        <v>278</v>
      </c>
      <c r="C51" s="1641" t="s">
        <v>294</v>
      </c>
      <c r="D51" s="1641"/>
      <c r="E51" s="1641"/>
      <c r="F51" s="1641"/>
      <c r="G51" s="1639" t="s">
        <v>295</v>
      </c>
      <c r="H51" s="1639"/>
      <c r="I51" s="1639"/>
      <c r="J51" s="1793" t="s">
        <v>296</v>
      </c>
      <c r="K51" s="1793"/>
      <c r="L51" s="1793"/>
      <c r="M51" s="1793"/>
      <c r="N51" s="1793"/>
    </row>
    <row r="52" spans="2:14" ht="70" x14ac:dyDescent="0.3">
      <c r="B52" s="1792"/>
      <c r="C52" s="688" t="s">
        <v>347</v>
      </c>
      <c r="D52" s="688" t="s">
        <v>345</v>
      </c>
      <c r="E52" s="688" t="s">
        <v>743</v>
      </c>
      <c r="F52" s="688" t="s">
        <v>346</v>
      </c>
      <c r="G52" s="688" t="s">
        <v>297</v>
      </c>
      <c r="H52" s="688" t="s">
        <v>744</v>
      </c>
      <c r="I52" s="688" t="s">
        <v>298</v>
      </c>
      <c r="J52" s="688" t="s">
        <v>299</v>
      </c>
      <c r="K52" s="688" t="s">
        <v>300</v>
      </c>
      <c r="L52" s="688" t="s">
        <v>745</v>
      </c>
      <c r="M52" s="688" t="s">
        <v>746</v>
      </c>
      <c r="N52" s="689" t="s">
        <v>271</v>
      </c>
    </row>
    <row r="53" spans="2:14" x14ac:dyDescent="0.3">
      <c r="B53" s="105"/>
      <c r="C53" s="106"/>
      <c r="D53" s="106"/>
      <c r="E53" s="106"/>
      <c r="F53" s="106"/>
      <c r="G53" s="106"/>
      <c r="H53" s="106"/>
      <c r="I53" s="106"/>
      <c r="J53" s="106"/>
      <c r="K53" s="106"/>
      <c r="L53" s="106"/>
      <c r="M53" s="106"/>
      <c r="N53" s="107"/>
    </row>
    <row r="54" spans="2:14" ht="14" x14ac:dyDescent="0.3">
      <c r="B54" s="142" t="s">
        <v>782</v>
      </c>
      <c r="C54" s="329">
        <f ca="1">'F1'!W27-'F1'!W11</f>
        <v>341.81948931583838</v>
      </c>
      <c r="D54" s="329">
        <f>'F2.2'!$W$157</f>
        <v>6.5305966861250555</v>
      </c>
      <c r="E54" s="329"/>
      <c r="F54" s="108"/>
      <c r="G54" s="329">
        <f>'F2.2'!$W$37</f>
        <v>1310.8034994301615</v>
      </c>
      <c r="H54" s="440">
        <v>1</v>
      </c>
      <c r="I54" s="108"/>
      <c r="J54" s="329">
        <f ca="1">C54</f>
        <v>341.81948931583838</v>
      </c>
      <c r="K54" s="329">
        <f>G54*D54/10</f>
        <v>856.03289895397393</v>
      </c>
      <c r="L54" s="329"/>
      <c r="M54" s="329"/>
      <c r="N54" s="327">
        <f ca="1">SUM(J54:M54)</f>
        <v>1197.8523882698123</v>
      </c>
    </row>
    <row r="55" spans="2:14" ht="14" x14ac:dyDescent="0.3">
      <c r="B55" s="102"/>
      <c r="C55" s="108"/>
      <c r="D55" s="108"/>
      <c r="E55" s="108"/>
      <c r="F55" s="108"/>
      <c r="G55" s="108"/>
      <c r="H55" s="108"/>
      <c r="I55" s="108"/>
      <c r="J55" s="108"/>
      <c r="K55" s="108"/>
      <c r="L55" s="108"/>
      <c r="M55" s="108"/>
      <c r="N55" s="327">
        <f>SUM(J55:M55)</f>
        <v>0</v>
      </c>
    </row>
    <row r="56" spans="2:14" ht="14" x14ac:dyDescent="0.3">
      <c r="B56" s="102" t="s">
        <v>271</v>
      </c>
      <c r="C56" s="350"/>
      <c r="D56" s="350"/>
      <c r="E56" s="350"/>
      <c r="F56" s="350"/>
      <c r="G56" s="350">
        <f>SUM(G54:G55)</f>
        <v>1310.8034994301615</v>
      </c>
      <c r="H56" s="350"/>
      <c r="I56" s="350"/>
      <c r="J56" s="350">
        <f ca="1">SUM(J54:J55)</f>
        <v>341.81948931583838</v>
      </c>
      <c r="K56" s="350">
        <f>SUM(K54:K55)</f>
        <v>856.03289895397393</v>
      </c>
      <c r="L56" s="350">
        <f>SUM(L54:L55)</f>
        <v>0</v>
      </c>
      <c r="M56" s="350">
        <f>SUM(M54:M55)</f>
        <v>0</v>
      </c>
      <c r="N56" s="350">
        <f ca="1">SUM(N54:N55)</f>
        <v>1197.8523882698123</v>
      </c>
    </row>
  </sheetData>
  <mergeCells count="23">
    <mergeCell ref="B41:B42"/>
    <mergeCell ref="C41:F41"/>
    <mergeCell ref="G41:I41"/>
    <mergeCell ref="J41:N41"/>
    <mergeCell ref="B51:B52"/>
    <mergeCell ref="C51:F51"/>
    <mergeCell ref="G51:I51"/>
    <mergeCell ref="J51:N51"/>
    <mergeCell ref="B2:N2"/>
    <mergeCell ref="B3:N3"/>
    <mergeCell ref="B4:N4"/>
    <mergeCell ref="B9:B10"/>
    <mergeCell ref="C9:F9"/>
    <mergeCell ref="G9:I9"/>
    <mergeCell ref="J9:N9"/>
    <mergeCell ref="B20:B21"/>
    <mergeCell ref="C20:F20"/>
    <mergeCell ref="G20:I20"/>
    <mergeCell ref="J20:N20"/>
    <mergeCell ref="B31:B32"/>
    <mergeCell ref="C31:F31"/>
    <mergeCell ref="G31:I31"/>
    <mergeCell ref="J31:N31"/>
  </mergeCells>
  <pageMargins left="0.70866141732283472" right="0.70866141732283472" top="0.74803149606299213" bottom="0.74803149606299213" header="0.31496062992125984" footer="0.31496062992125984"/>
  <pageSetup paperSize="9" scale="4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B2:X29"/>
  <sheetViews>
    <sheetView showGridLines="0" view="pageBreakPreview" topLeftCell="B1" zoomScale="60" zoomScaleNormal="75" workbookViewId="0">
      <selection activeCell="L13" sqref="L13"/>
    </sheetView>
  </sheetViews>
  <sheetFormatPr defaultColWidth="9.36328125" defaultRowHeight="14" x14ac:dyDescent="0.25"/>
  <cols>
    <col min="1" max="2" width="6.36328125" style="14" customWidth="1"/>
    <col min="3" max="3" width="53.6328125" style="14" bestFit="1" customWidth="1"/>
    <col min="4" max="4" width="14.6328125" style="14" bestFit="1" customWidth="1"/>
    <col min="5" max="5" width="15.36328125" style="14" bestFit="1" customWidth="1"/>
    <col min="6" max="9" width="18.6328125" style="14" customWidth="1"/>
    <col min="10" max="10" width="14.6328125" style="14" bestFit="1" customWidth="1"/>
    <col min="11" max="11" width="14.453125" style="14" customWidth="1"/>
    <col min="12" max="12" width="17.36328125" style="14" customWidth="1"/>
    <col min="13" max="18" width="15.6328125" style="14" customWidth="1"/>
    <col min="19" max="23" width="18.54296875" style="14" customWidth="1"/>
    <col min="24" max="24" width="15.6328125" style="14" customWidth="1"/>
    <col min="25" max="16384" width="9.36328125" style="14"/>
  </cols>
  <sheetData>
    <row r="2" spans="2:24" x14ac:dyDescent="0.25">
      <c r="C2" s="112"/>
      <c r="D2" s="112"/>
      <c r="E2" s="112"/>
      <c r="F2" s="112"/>
      <c r="G2" s="112"/>
      <c r="H2" s="112"/>
      <c r="I2" s="112"/>
      <c r="J2" s="112"/>
      <c r="K2" s="79" t="str">
        <f>Index!B2</f>
        <v xml:space="preserve">      Maharashtra State Power Generation Company Ltd.</v>
      </c>
      <c r="L2" s="200"/>
      <c r="M2" s="112"/>
      <c r="N2" s="112"/>
      <c r="O2" s="112"/>
      <c r="P2" s="112"/>
      <c r="Q2" s="112"/>
      <c r="R2" s="112"/>
      <c r="S2" s="112"/>
      <c r="T2" s="112"/>
      <c r="U2" s="112"/>
      <c r="V2" s="112"/>
      <c r="W2" s="112"/>
      <c r="X2" s="112"/>
    </row>
    <row r="3" spans="2:24" s="5" customFormat="1" x14ac:dyDescent="0.3">
      <c r="C3" s="112"/>
      <c r="D3" s="112"/>
      <c r="E3" s="112"/>
      <c r="F3" s="112"/>
      <c r="G3" s="112"/>
      <c r="H3" s="112"/>
      <c r="I3" s="112"/>
      <c r="J3" s="112"/>
      <c r="K3" s="336" t="str">
        <f>Index!B3</f>
        <v>MYT Petition Formats for Bhusawal Unit 3</v>
      </c>
      <c r="L3" s="84"/>
      <c r="M3" s="112"/>
      <c r="N3" s="112"/>
      <c r="O3" s="112"/>
      <c r="P3" s="112"/>
      <c r="Q3" s="112"/>
      <c r="R3" s="112"/>
      <c r="S3" s="112"/>
      <c r="T3" s="112"/>
      <c r="U3" s="112"/>
      <c r="V3" s="112"/>
      <c r="W3" s="112"/>
      <c r="X3" s="112"/>
    </row>
    <row r="4" spans="2:24" s="5" customFormat="1" x14ac:dyDescent="0.3">
      <c r="C4" s="112"/>
      <c r="D4" s="112"/>
      <c r="E4" s="112"/>
      <c r="F4" s="112"/>
      <c r="G4" s="112"/>
      <c r="H4" s="112"/>
      <c r="I4" s="112"/>
      <c r="J4" s="112"/>
      <c r="K4" s="80" t="s">
        <v>324</v>
      </c>
      <c r="L4" s="201"/>
      <c r="M4" s="112"/>
      <c r="N4" s="112"/>
      <c r="O4" s="112"/>
      <c r="P4" s="112"/>
      <c r="Q4" s="112"/>
      <c r="R4" s="112"/>
      <c r="S4" s="112"/>
      <c r="T4" s="112"/>
      <c r="U4" s="112"/>
      <c r="V4" s="112"/>
      <c r="W4" s="112"/>
      <c r="X4" s="112"/>
    </row>
    <row r="6" spans="2:24" x14ac:dyDescent="0.25">
      <c r="S6" s="22" t="s">
        <v>10</v>
      </c>
    </row>
    <row r="7" spans="2:24" ht="15" customHeight="1" x14ac:dyDescent="0.25">
      <c r="B7" s="1593" t="s">
        <v>340</v>
      </c>
      <c r="C7" s="1593" t="s">
        <v>38</v>
      </c>
      <c r="D7" s="1595" t="s">
        <v>505</v>
      </c>
      <c r="E7" s="1596"/>
      <c r="F7" s="1597"/>
      <c r="G7" s="1595" t="s">
        <v>506</v>
      </c>
      <c r="H7" s="1596"/>
      <c r="I7" s="1597"/>
      <c r="J7" s="1595" t="s">
        <v>507</v>
      </c>
      <c r="K7" s="1596"/>
      <c r="L7" s="1596"/>
      <c r="M7" s="1596"/>
      <c r="N7" s="1597"/>
      <c r="O7" s="1630" t="s">
        <v>1066</v>
      </c>
      <c r="P7" s="1630"/>
      <c r="Q7" s="1630"/>
      <c r="R7" s="1630"/>
      <c r="S7" s="1630"/>
      <c r="T7" s="1593" t="s">
        <v>28</v>
      </c>
    </row>
    <row r="8" spans="2:24" ht="43.5" customHeight="1" x14ac:dyDescent="0.25">
      <c r="B8" s="1640"/>
      <c r="C8" s="1640"/>
      <c r="D8" s="286" t="s">
        <v>1065</v>
      </c>
      <c r="E8" s="287" t="s">
        <v>80</v>
      </c>
      <c r="F8" s="287" t="s">
        <v>449</v>
      </c>
      <c r="G8" s="286" t="s">
        <v>1065</v>
      </c>
      <c r="H8" s="287" t="s">
        <v>80</v>
      </c>
      <c r="I8" s="287" t="s">
        <v>449</v>
      </c>
      <c r="J8" s="287" t="s">
        <v>1065</v>
      </c>
      <c r="K8" s="287" t="s">
        <v>443</v>
      </c>
      <c r="L8" s="287" t="s">
        <v>447</v>
      </c>
      <c r="M8" s="287" t="s">
        <v>81</v>
      </c>
      <c r="N8" s="287" t="s">
        <v>450</v>
      </c>
      <c r="O8" s="646" t="s">
        <v>1067</v>
      </c>
      <c r="P8" s="646" t="s">
        <v>1068</v>
      </c>
      <c r="Q8" s="646" t="s">
        <v>1069</v>
      </c>
      <c r="R8" s="646" t="s">
        <v>1070</v>
      </c>
      <c r="S8" s="646" t="s">
        <v>1071</v>
      </c>
      <c r="T8" s="1593"/>
    </row>
    <row r="9" spans="2:24" ht="19.5" customHeight="1" x14ac:dyDescent="0.25">
      <c r="B9" s="1640"/>
      <c r="C9" s="1640"/>
      <c r="D9" s="287" t="s">
        <v>82</v>
      </c>
      <c r="E9" s="287" t="s">
        <v>83</v>
      </c>
      <c r="F9" s="287" t="s">
        <v>675</v>
      </c>
      <c r="G9" s="287" t="s">
        <v>391</v>
      </c>
      <c r="H9" s="287" t="s">
        <v>409</v>
      </c>
      <c r="I9" s="287" t="s">
        <v>454</v>
      </c>
      <c r="J9" s="287" t="s">
        <v>410</v>
      </c>
      <c r="K9" s="287" t="s">
        <v>411</v>
      </c>
      <c r="L9" s="287" t="s">
        <v>588</v>
      </c>
      <c r="M9" s="287" t="s">
        <v>676</v>
      </c>
      <c r="N9" s="287" t="s">
        <v>1083</v>
      </c>
      <c r="O9" s="638" t="s">
        <v>21</v>
      </c>
      <c r="P9" s="638" t="s">
        <v>21</v>
      </c>
      <c r="Q9" s="638" t="s">
        <v>21</v>
      </c>
      <c r="R9" s="638" t="s">
        <v>21</v>
      </c>
      <c r="S9" s="638" t="s">
        <v>21</v>
      </c>
      <c r="T9" s="1594"/>
    </row>
    <row r="10" spans="2:24" s="311" customFormat="1" x14ac:dyDescent="0.25">
      <c r="B10" s="234"/>
      <c r="C10" s="756"/>
      <c r="D10" s="115"/>
      <c r="E10" s="115"/>
      <c r="F10" s="115"/>
      <c r="G10" s="115"/>
      <c r="H10" s="115"/>
      <c r="I10" s="115"/>
      <c r="J10" s="114"/>
      <c r="K10" s="115"/>
      <c r="L10" s="115"/>
      <c r="M10" s="114"/>
      <c r="N10" s="114"/>
      <c r="O10" s="114"/>
      <c r="P10" s="114"/>
      <c r="Q10" s="114"/>
      <c r="R10" s="114"/>
      <c r="S10" s="114"/>
      <c r="T10" s="114"/>
    </row>
    <row r="11" spans="2:24" s="311" customFormat="1" x14ac:dyDescent="0.25">
      <c r="B11" s="234">
        <v>1</v>
      </c>
      <c r="C11" s="754" t="s">
        <v>1143</v>
      </c>
      <c r="D11" s="755"/>
      <c r="E11" s="357">
        <v>0</v>
      </c>
      <c r="F11" s="324">
        <f>E11-D11</f>
        <v>0</v>
      </c>
      <c r="G11" s="357"/>
      <c r="H11" s="357">
        <v>0</v>
      </c>
      <c r="I11" s="324">
        <f>H11-G11</f>
        <v>0</v>
      </c>
      <c r="J11" s="315"/>
      <c r="K11" s="357">
        <v>0</v>
      </c>
      <c r="L11" s="357">
        <v>0</v>
      </c>
      <c r="M11" s="315">
        <f>K11+L11</f>
        <v>0</v>
      </c>
      <c r="N11" s="315">
        <f>M11-J11</f>
        <v>0</v>
      </c>
      <c r="O11" s="315"/>
      <c r="P11" s="315"/>
      <c r="Q11" s="315"/>
      <c r="R11" s="315"/>
      <c r="S11" s="315"/>
      <c r="T11" s="315"/>
    </row>
    <row r="12" spans="2:24" s="311" customFormat="1" x14ac:dyDescent="0.25">
      <c r="B12" s="436">
        <v>2</v>
      </c>
      <c r="C12" s="753" t="s">
        <v>1144</v>
      </c>
      <c r="D12" s="357"/>
      <c r="E12" s="357">
        <v>0</v>
      </c>
      <c r="F12" s="324">
        <f t="shared" ref="F12:F26" si="0">E12-D12</f>
        <v>0</v>
      </c>
      <c r="G12" s="357"/>
      <c r="H12" s="357">
        <v>2.3094816474928299E-2</v>
      </c>
      <c r="I12" s="324">
        <f t="shared" ref="I12:I26" si="1">H12-G12</f>
        <v>2.3094816474928299E-2</v>
      </c>
      <c r="J12" s="315"/>
      <c r="K12" s="357">
        <v>6.8066930009767846E-3</v>
      </c>
      <c r="L12" s="357">
        <v>6.8066930009767846E-3</v>
      </c>
      <c r="M12" s="315">
        <f>K12+L12</f>
        <v>1.3613386001953569E-2</v>
      </c>
      <c r="N12" s="315">
        <f>M12-J12</f>
        <v>1.3613386001953569E-2</v>
      </c>
      <c r="O12" s="315"/>
      <c r="P12" s="315"/>
      <c r="Q12" s="315"/>
      <c r="R12" s="315"/>
      <c r="S12" s="315"/>
      <c r="T12" s="315"/>
    </row>
    <row r="13" spans="2:24" s="311" customFormat="1" x14ac:dyDescent="0.25">
      <c r="B13" s="436">
        <v>3</v>
      </c>
      <c r="C13" s="753" t="s">
        <v>1145</v>
      </c>
      <c r="D13" s="357"/>
      <c r="E13" s="357">
        <v>0</v>
      </c>
      <c r="F13" s="324">
        <f t="shared" si="0"/>
        <v>0</v>
      </c>
      <c r="G13" s="357"/>
      <c r="H13" s="357">
        <v>0</v>
      </c>
      <c r="I13" s="324">
        <f t="shared" si="1"/>
        <v>0</v>
      </c>
      <c r="J13" s="315"/>
      <c r="K13" s="357">
        <v>0</v>
      </c>
      <c r="L13" s="357">
        <v>0</v>
      </c>
      <c r="M13" s="315">
        <f>K13+L13</f>
        <v>0</v>
      </c>
      <c r="N13" s="315">
        <f>M13-J13</f>
        <v>0</v>
      </c>
      <c r="O13" s="315"/>
      <c r="P13" s="315"/>
      <c r="Q13" s="315"/>
      <c r="R13" s="315"/>
      <c r="S13" s="315"/>
      <c r="T13" s="315"/>
    </row>
    <row r="14" spans="2:24" s="311" customFormat="1" x14ac:dyDescent="0.25">
      <c r="B14" s="436">
        <v>4</v>
      </c>
      <c r="C14" s="753" t="s">
        <v>757</v>
      </c>
      <c r="D14" s="357"/>
      <c r="E14" s="357">
        <v>1.9129405237805188</v>
      </c>
      <c r="F14" s="654"/>
      <c r="G14" s="357"/>
      <c r="H14" s="357">
        <v>3.2403808816665398</v>
      </c>
      <c r="I14" s="654"/>
      <c r="J14" s="315"/>
      <c r="K14" s="357">
        <v>1.4098735810075695</v>
      </c>
      <c r="L14" s="357">
        <v>1.4098735810075695</v>
      </c>
      <c r="M14" s="315">
        <f>K14+L14</f>
        <v>2.8197471620151391</v>
      </c>
      <c r="N14" s="315">
        <f>M14-J14</f>
        <v>2.8197471620151391</v>
      </c>
      <c r="O14" s="656"/>
      <c r="P14" s="656"/>
      <c r="Q14" s="656"/>
      <c r="R14" s="656"/>
      <c r="S14" s="656"/>
      <c r="T14" s="315"/>
    </row>
    <row r="15" spans="2:24" s="311" customFormat="1" x14ac:dyDescent="0.25">
      <c r="B15" s="436">
        <v>5</v>
      </c>
      <c r="C15" s="753" t="s">
        <v>762</v>
      </c>
      <c r="D15" s="357"/>
      <c r="E15" s="357">
        <v>0</v>
      </c>
      <c r="F15" s="654"/>
      <c r="G15" s="357"/>
      <c r="H15" s="357">
        <v>0</v>
      </c>
      <c r="I15" s="654"/>
      <c r="J15" s="315"/>
      <c r="K15" s="357">
        <v>0</v>
      </c>
      <c r="L15" s="357">
        <v>0</v>
      </c>
      <c r="M15" s="315">
        <f>K15+L15</f>
        <v>0</v>
      </c>
      <c r="N15" s="315">
        <f>M15-J15</f>
        <v>0</v>
      </c>
      <c r="O15" s="656"/>
      <c r="P15" s="656"/>
      <c r="Q15" s="656"/>
      <c r="R15" s="656"/>
      <c r="S15" s="656"/>
      <c r="T15" s="315"/>
    </row>
    <row r="16" spans="2:24" s="311" customFormat="1" x14ac:dyDescent="0.25">
      <c r="B16" s="436">
        <v>6</v>
      </c>
      <c r="C16" s="753" t="s">
        <v>758</v>
      </c>
      <c r="D16" s="357"/>
      <c r="E16" s="357">
        <v>0</v>
      </c>
      <c r="F16" s="654"/>
      <c r="G16" s="357"/>
      <c r="H16" s="357">
        <v>0</v>
      </c>
      <c r="I16" s="654"/>
      <c r="J16" s="315"/>
      <c r="K16" s="357">
        <v>0</v>
      </c>
      <c r="L16" s="357">
        <v>0</v>
      </c>
      <c r="M16" s="315"/>
      <c r="N16" s="315"/>
      <c r="O16" s="656"/>
      <c r="P16" s="656"/>
      <c r="Q16" s="656"/>
      <c r="R16" s="656"/>
      <c r="S16" s="656"/>
      <c r="T16" s="315"/>
    </row>
    <row r="17" spans="2:20" s="311" customFormat="1" x14ac:dyDescent="0.25">
      <c r="B17" s="436">
        <v>7</v>
      </c>
      <c r="C17" s="753" t="s">
        <v>759</v>
      </c>
      <c r="D17" s="357"/>
      <c r="E17" s="357">
        <v>0</v>
      </c>
      <c r="F17" s="654"/>
      <c r="G17" s="357"/>
      <c r="H17" s="357">
        <v>0</v>
      </c>
      <c r="I17" s="654"/>
      <c r="J17" s="315"/>
      <c r="K17" s="357">
        <v>0</v>
      </c>
      <c r="L17" s="357">
        <v>0</v>
      </c>
      <c r="M17" s="315"/>
      <c r="N17" s="315"/>
      <c r="O17" s="656"/>
      <c r="P17" s="656"/>
      <c r="Q17" s="656"/>
      <c r="R17" s="656"/>
      <c r="S17" s="656"/>
      <c r="T17" s="315"/>
    </row>
    <row r="18" spans="2:20" s="311" customFormat="1" x14ac:dyDescent="0.25">
      <c r="B18" s="436">
        <v>8</v>
      </c>
      <c r="C18" s="753" t="s">
        <v>1140</v>
      </c>
      <c r="D18" s="437"/>
      <c r="E18" s="357">
        <v>0.26095508030386305</v>
      </c>
      <c r="F18" s="654"/>
      <c r="G18" s="357"/>
      <c r="H18" s="357">
        <v>0.24785989087647303</v>
      </c>
      <c r="I18" s="654"/>
      <c r="J18" s="315"/>
      <c r="K18" s="357">
        <v>0</v>
      </c>
      <c r="L18" s="357">
        <v>0</v>
      </c>
      <c r="M18" s="315">
        <f t="shared" ref="M18:M26" si="2">K18+L18</f>
        <v>0</v>
      </c>
      <c r="N18" s="315">
        <f t="shared" ref="N18:N26" si="3">M18-J18</f>
        <v>0</v>
      </c>
      <c r="O18" s="656"/>
      <c r="P18" s="656"/>
      <c r="Q18" s="656"/>
      <c r="R18" s="656"/>
      <c r="S18" s="656"/>
      <c r="T18" s="315"/>
    </row>
    <row r="19" spans="2:20" s="311" customFormat="1" x14ac:dyDescent="0.25">
      <c r="B19" s="436">
        <v>9</v>
      </c>
      <c r="C19" s="753" t="s">
        <v>760</v>
      </c>
      <c r="D19" s="437"/>
      <c r="E19" s="357">
        <v>0</v>
      </c>
      <c r="F19" s="654"/>
      <c r="G19" s="357"/>
      <c r="H19" s="357">
        <v>0</v>
      </c>
      <c r="I19" s="654"/>
      <c r="J19" s="315"/>
      <c r="K19" s="357">
        <v>3.077219356672963E-4</v>
      </c>
      <c r="L19" s="357">
        <v>3.077219356672963E-4</v>
      </c>
      <c r="M19" s="315">
        <f t="shared" si="2"/>
        <v>6.1544387133459261E-4</v>
      </c>
      <c r="N19" s="315">
        <f t="shared" si="3"/>
        <v>6.1544387133459261E-4</v>
      </c>
      <c r="O19" s="656"/>
      <c r="P19" s="656"/>
      <c r="Q19" s="656"/>
      <c r="R19" s="656"/>
      <c r="S19" s="656"/>
      <c r="T19" s="315"/>
    </row>
    <row r="20" spans="2:20" s="311" customFormat="1" x14ac:dyDescent="0.25">
      <c r="B20" s="436">
        <v>10</v>
      </c>
      <c r="C20" s="753" t="s">
        <v>761</v>
      </c>
      <c r="D20" s="437"/>
      <c r="E20" s="437">
        <v>2.763748246875136</v>
      </c>
      <c r="F20" s="654"/>
      <c r="G20" s="437"/>
      <c r="H20" s="437">
        <v>3.7318749353593903</v>
      </c>
      <c r="I20" s="654"/>
      <c r="J20" s="315"/>
      <c r="K20" s="437">
        <v>1.7230795370295255</v>
      </c>
      <c r="L20" s="437">
        <v>1.7230795370295255</v>
      </c>
      <c r="M20" s="315">
        <f t="shared" si="2"/>
        <v>3.4461590740590511</v>
      </c>
      <c r="N20" s="315">
        <f t="shared" si="3"/>
        <v>3.4461590740590511</v>
      </c>
      <c r="O20" s="656"/>
      <c r="P20" s="656"/>
      <c r="Q20" s="656"/>
      <c r="R20" s="656"/>
      <c r="S20" s="656"/>
      <c r="T20" s="315"/>
    </row>
    <row r="21" spans="2:20" s="311" customFormat="1" x14ac:dyDescent="0.25">
      <c r="B21" s="436">
        <v>11</v>
      </c>
      <c r="C21" s="753" t="s">
        <v>1146</v>
      </c>
      <c r="D21" s="437"/>
      <c r="E21" s="357">
        <v>0</v>
      </c>
      <c r="F21" s="654">
        <f t="shared" si="0"/>
        <v>0</v>
      </c>
      <c r="G21" s="357"/>
      <c r="H21" s="357">
        <v>0</v>
      </c>
      <c r="I21" s="654">
        <f t="shared" si="1"/>
        <v>0</v>
      </c>
      <c r="J21" s="315"/>
      <c r="K21" s="357">
        <v>0</v>
      </c>
      <c r="L21" s="357">
        <v>0</v>
      </c>
      <c r="M21" s="315">
        <f t="shared" si="2"/>
        <v>0</v>
      </c>
      <c r="N21" s="315">
        <f t="shared" si="3"/>
        <v>0</v>
      </c>
      <c r="O21" s="656"/>
      <c r="P21" s="656"/>
      <c r="Q21" s="656"/>
      <c r="R21" s="656"/>
      <c r="S21" s="656"/>
      <c r="T21" s="315"/>
    </row>
    <row r="22" spans="2:20" s="311" customFormat="1" x14ac:dyDescent="0.25">
      <c r="B22" s="436">
        <v>12</v>
      </c>
      <c r="C22" s="753" t="s">
        <v>765</v>
      </c>
      <c r="D22" s="437"/>
      <c r="E22" s="357">
        <v>0</v>
      </c>
      <c r="F22" s="654">
        <f t="shared" si="0"/>
        <v>0</v>
      </c>
      <c r="G22" s="357"/>
      <c r="H22" s="357">
        <v>0</v>
      </c>
      <c r="I22" s="654">
        <f t="shared" si="1"/>
        <v>0</v>
      </c>
      <c r="J22" s="315"/>
      <c r="K22" s="357">
        <v>0</v>
      </c>
      <c r="L22" s="357">
        <v>0</v>
      </c>
      <c r="M22" s="315">
        <f t="shared" si="2"/>
        <v>0</v>
      </c>
      <c r="N22" s="315">
        <f t="shared" si="3"/>
        <v>0</v>
      </c>
      <c r="O22" s="656"/>
      <c r="P22" s="656"/>
      <c r="Q22" s="656"/>
      <c r="R22" s="656"/>
      <c r="S22" s="656"/>
      <c r="T22" s="315"/>
    </row>
    <row r="23" spans="2:20" s="311" customFormat="1" x14ac:dyDescent="0.25">
      <c r="B23" s="436">
        <v>13</v>
      </c>
      <c r="C23" s="753" t="s">
        <v>766</v>
      </c>
      <c r="D23" s="357"/>
      <c r="E23" s="357">
        <v>1.9725736473546788E-5</v>
      </c>
      <c r="F23" s="654">
        <f t="shared" si="0"/>
        <v>1.9725736473546788E-5</v>
      </c>
      <c r="G23" s="357"/>
      <c r="H23" s="357">
        <v>0</v>
      </c>
      <c r="I23" s="654">
        <f t="shared" si="1"/>
        <v>0</v>
      </c>
      <c r="J23" s="315"/>
      <c r="K23" s="357">
        <v>0</v>
      </c>
      <c r="L23" s="357">
        <v>0</v>
      </c>
      <c r="M23" s="315">
        <f t="shared" si="2"/>
        <v>0</v>
      </c>
      <c r="N23" s="315">
        <f t="shared" si="3"/>
        <v>0</v>
      </c>
      <c r="O23" s="656"/>
      <c r="P23" s="656"/>
      <c r="Q23" s="656"/>
      <c r="R23" s="656"/>
      <c r="S23" s="656"/>
      <c r="T23" s="315"/>
    </row>
    <row r="24" spans="2:20" s="311" customFormat="1" x14ac:dyDescent="0.25">
      <c r="B24" s="436">
        <v>14</v>
      </c>
      <c r="C24" s="753" t="s">
        <v>1664</v>
      </c>
      <c r="D24" s="357"/>
      <c r="E24" s="357">
        <v>0</v>
      </c>
      <c r="F24" s="654"/>
      <c r="G24" s="357"/>
      <c r="H24" s="357">
        <v>0</v>
      </c>
      <c r="I24" s="654"/>
      <c r="J24" s="315"/>
      <c r="K24" s="357">
        <v>0</v>
      </c>
      <c r="L24" s="357">
        <v>0</v>
      </c>
      <c r="M24" s="315"/>
      <c r="N24" s="315"/>
      <c r="O24" s="656"/>
      <c r="P24" s="656"/>
      <c r="Q24" s="656"/>
      <c r="R24" s="656"/>
      <c r="S24" s="656"/>
      <c r="T24" s="315"/>
    </row>
    <row r="25" spans="2:20" s="311" customFormat="1" x14ac:dyDescent="0.25">
      <c r="B25" s="436">
        <v>15</v>
      </c>
      <c r="C25" s="754" t="s">
        <v>1147</v>
      </c>
      <c r="D25" s="357"/>
      <c r="E25" s="357">
        <v>0</v>
      </c>
      <c r="F25" s="654"/>
      <c r="G25" s="357"/>
      <c r="H25" s="357">
        <v>0</v>
      </c>
      <c r="I25" s="654"/>
      <c r="J25" s="315"/>
      <c r="K25" s="357">
        <v>0</v>
      </c>
      <c r="L25" s="357">
        <v>0</v>
      </c>
      <c r="M25" s="315"/>
      <c r="N25" s="315"/>
      <c r="O25" s="656"/>
      <c r="P25" s="656"/>
      <c r="Q25" s="656"/>
      <c r="R25" s="656"/>
      <c r="S25" s="656"/>
      <c r="T25" s="315"/>
    </row>
    <row r="26" spans="2:20" s="311" customFormat="1" x14ac:dyDescent="0.25">
      <c r="B26" s="436">
        <v>16</v>
      </c>
      <c r="C26" s="754" t="s">
        <v>1139</v>
      </c>
      <c r="D26" s="357"/>
      <c r="E26" s="357">
        <v>0.433661237021714</v>
      </c>
      <c r="F26" s="324">
        <f t="shared" si="0"/>
        <v>0.433661237021714</v>
      </c>
      <c r="G26" s="357"/>
      <c r="H26" s="357">
        <v>0.16533338350025001</v>
      </c>
      <c r="I26" s="324">
        <f t="shared" si="1"/>
        <v>0.16533338350025001</v>
      </c>
      <c r="J26" s="315"/>
      <c r="K26" s="357">
        <v>5.6218036537259992E-2</v>
      </c>
      <c r="L26" s="357">
        <v>5.6218036537259992E-2</v>
      </c>
      <c r="M26" s="315">
        <f t="shared" si="2"/>
        <v>0.11243607307451998</v>
      </c>
      <c r="N26" s="315">
        <f t="shared" si="3"/>
        <v>0.11243607307451998</v>
      </c>
      <c r="O26" s="315"/>
      <c r="P26" s="315"/>
      <c r="Q26" s="315"/>
      <c r="R26" s="315"/>
      <c r="S26" s="315"/>
      <c r="T26" s="315"/>
    </row>
    <row r="27" spans="2:20" s="554" customFormat="1" x14ac:dyDescent="0.25">
      <c r="B27" s="477"/>
      <c r="C27" s="478" t="s">
        <v>3</v>
      </c>
      <c r="D27" s="437">
        <v>3.73876132660991</v>
      </c>
      <c r="E27" s="437">
        <f>SUM(E11:E26)</f>
        <v>5.3713248137177052</v>
      </c>
      <c r="F27" s="437">
        <f>SUM(F11:F26)</f>
        <v>0.43368096275818752</v>
      </c>
      <c r="G27" s="780">
        <v>3.73876132660991</v>
      </c>
      <c r="H27" s="780">
        <f>SUM(H10:H26)-H13</f>
        <v>7.4085439078775819</v>
      </c>
      <c r="I27" s="780">
        <f>SUM(I11:I26)</f>
        <v>0.18842819997517832</v>
      </c>
      <c r="J27" s="780">
        <v>3.73876132660991</v>
      </c>
      <c r="K27" s="437">
        <f>SUM(K11:K26)</f>
        <v>3.1962855695109993</v>
      </c>
      <c r="L27" s="437">
        <f>SUM(L10:L26)-L13</f>
        <v>3.1962855695109993</v>
      </c>
      <c r="M27" s="437">
        <f t="shared" ref="M27:N27" si="4">SUM(M11:M26)</f>
        <v>6.3925711390219986</v>
      </c>
      <c r="N27" s="437">
        <f t="shared" si="4"/>
        <v>6.3925711390219986</v>
      </c>
      <c r="O27" s="437">
        <v>7.4085439078775819</v>
      </c>
      <c r="P27" s="437">
        <v>7.4085439078775819</v>
      </c>
      <c r="Q27" s="437">
        <v>7.4085439078775819</v>
      </c>
      <c r="R27" s="437">
        <v>7.4085439078775819</v>
      </c>
      <c r="S27" s="437">
        <v>7.4085439078775819</v>
      </c>
      <c r="T27" s="358"/>
    </row>
    <row r="29" spans="2:20" x14ac:dyDescent="0.25">
      <c r="B29" s="14" t="s">
        <v>1075</v>
      </c>
    </row>
  </sheetData>
  <mergeCells count="7">
    <mergeCell ref="T7:T9"/>
    <mergeCell ref="B7:B9"/>
    <mergeCell ref="C7:C9"/>
    <mergeCell ref="J7:N7"/>
    <mergeCell ref="D7:F7"/>
    <mergeCell ref="G7:I7"/>
    <mergeCell ref="O7:S7"/>
  </mergeCells>
  <pageMargins left="1.02" right="0.25" top="1" bottom="1" header="0.25" footer="0.25"/>
  <pageSetup paperSize="9" scale="39" orientation="landscape" r:id="rId1"/>
  <headerFooter alignWithMargins="0">
    <oddHeader>&amp;F</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B1:T28"/>
  <sheetViews>
    <sheetView showGridLines="0" zoomScale="75" zoomScaleNormal="75" zoomScaleSheetLayoutView="80" workbookViewId="0">
      <pane xSplit="3" ySplit="9" topLeftCell="E10" activePane="bottomRight" state="frozen"/>
      <selection pane="topRight" activeCell="D1" sqref="D1"/>
      <selection pane="bottomLeft" activeCell="A10" sqref="A10"/>
      <selection pane="bottomRight" activeCell="H25" sqref="H25"/>
    </sheetView>
  </sheetViews>
  <sheetFormatPr defaultColWidth="9.36328125" defaultRowHeight="14" x14ac:dyDescent="0.3"/>
  <cols>
    <col min="1" max="1" width="4.36328125" style="5" customWidth="1"/>
    <col min="2" max="2" width="6.36328125" style="5" customWidth="1"/>
    <col min="3" max="3" width="61.6328125" style="5" customWidth="1"/>
    <col min="4" max="9" width="14.36328125" style="5" customWidth="1"/>
    <col min="10" max="10" width="16.453125" style="5" customWidth="1"/>
    <col min="11" max="20" width="15.6328125" style="5" customWidth="1"/>
    <col min="21" max="16384" width="9.36328125" style="5"/>
  </cols>
  <sheetData>
    <row r="1" spans="2:20" x14ac:dyDescent="0.3">
      <c r="B1" s="48"/>
    </row>
    <row r="2" spans="2:20" x14ac:dyDescent="0.3">
      <c r="B2" s="1599" t="str">
        <f>Index!B2</f>
        <v xml:space="preserve">      Maharashtra State Power Generation Company Ltd.</v>
      </c>
      <c r="C2" s="1796"/>
      <c r="D2" s="1796"/>
      <c r="E2" s="1796"/>
      <c r="F2" s="1796"/>
      <c r="G2" s="1796"/>
      <c r="H2" s="1796"/>
      <c r="I2" s="1796"/>
      <c r="J2" s="1796"/>
      <c r="K2" s="1796"/>
      <c r="L2" s="1796"/>
      <c r="M2" s="1796"/>
      <c r="N2" s="1796"/>
      <c r="O2" s="1796"/>
      <c r="P2" s="1796"/>
      <c r="Q2" s="1796"/>
      <c r="R2" s="1796"/>
      <c r="S2" s="1796"/>
      <c r="T2" s="1796"/>
    </row>
    <row r="3" spans="2:20" x14ac:dyDescent="0.3">
      <c r="B3" s="1599" t="str">
        <f>Index!B3</f>
        <v>MYT Petition Formats for Bhusawal Unit 3</v>
      </c>
      <c r="C3" s="1796"/>
      <c r="D3" s="1796"/>
      <c r="E3" s="1796"/>
      <c r="F3" s="1796"/>
      <c r="G3" s="1796"/>
      <c r="H3" s="1796"/>
      <c r="I3" s="1796"/>
      <c r="J3" s="1796"/>
      <c r="K3" s="1796"/>
      <c r="L3" s="1796"/>
      <c r="M3" s="1796"/>
      <c r="N3" s="1796"/>
      <c r="O3" s="1796"/>
      <c r="P3" s="1796"/>
      <c r="Q3" s="1796"/>
      <c r="R3" s="1796"/>
      <c r="S3" s="1796"/>
      <c r="T3" s="1796"/>
    </row>
    <row r="4" spans="2:20" s="74" customFormat="1" x14ac:dyDescent="0.3">
      <c r="B4" s="1606" t="s">
        <v>321</v>
      </c>
      <c r="C4" s="1797"/>
      <c r="D4" s="1797"/>
      <c r="E4" s="1797"/>
      <c r="F4" s="1797"/>
      <c r="G4" s="1797"/>
      <c r="H4" s="1797"/>
      <c r="I4" s="1797"/>
      <c r="J4" s="1797"/>
      <c r="K4" s="1797"/>
      <c r="L4" s="1797"/>
      <c r="M4" s="1797"/>
      <c r="N4" s="1797"/>
      <c r="O4" s="1797"/>
      <c r="P4" s="1797"/>
      <c r="Q4" s="1797"/>
      <c r="R4" s="1797"/>
      <c r="S4" s="1797"/>
      <c r="T4" s="1797"/>
    </row>
    <row r="5" spans="2:20" x14ac:dyDescent="0.3">
      <c r="B5" s="19"/>
      <c r="C5" s="19"/>
    </row>
    <row r="6" spans="2:20" x14ac:dyDescent="0.3">
      <c r="C6" s="58"/>
      <c r="K6" s="58"/>
      <c r="M6" s="6"/>
      <c r="N6" s="6"/>
      <c r="S6" s="22" t="s">
        <v>10</v>
      </c>
    </row>
    <row r="7" spans="2:20" s="35" customFormat="1" ht="17.25" customHeight="1" x14ac:dyDescent="0.3">
      <c r="B7" s="1701" t="s">
        <v>340</v>
      </c>
      <c r="C7" s="1701" t="s">
        <v>38</v>
      </c>
      <c r="D7" s="1595" t="s">
        <v>505</v>
      </c>
      <c r="E7" s="1596"/>
      <c r="F7" s="1597"/>
      <c r="G7" s="1595" t="s">
        <v>506</v>
      </c>
      <c r="H7" s="1596"/>
      <c r="I7" s="1597"/>
      <c r="J7" s="1595" t="s">
        <v>507</v>
      </c>
      <c r="K7" s="1596"/>
      <c r="L7" s="1596"/>
      <c r="M7" s="1596"/>
      <c r="N7" s="1597"/>
      <c r="O7" s="1630" t="s">
        <v>1066</v>
      </c>
      <c r="P7" s="1630"/>
      <c r="Q7" s="1630"/>
      <c r="R7" s="1630"/>
      <c r="S7" s="1630"/>
      <c r="T7" s="1593" t="s">
        <v>28</v>
      </c>
    </row>
    <row r="8" spans="2:20" s="36" customFormat="1" ht="49.25" customHeight="1" x14ac:dyDescent="0.25">
      <c r="B8" s="1798"/>
      <c r="C8" s="1798"/>
      <c r="D8" s="286" t="s">
        <v>1065</v>
      </c>
      <c r="E8" s="287" t="s">
        <v>80</v>
      </c>
      <c r="F8" s="287" t="s">
        <v>449</v>
      </c>
      <c r="G8" s="286" t="s">
        <v>1065</v>
      </c>
      <c r="H8" s="287" t="s">
        <v>80</v>
      </c>
      <c r="I8" s="287" t="s">
        <v>449</v>
      </c>
      <c r="J8" s="287" t="s">
        <v>1065</v>
      </c>
      <c r="K8" s="287" t="s">
        <v>443</v>
      </c>
      <c r="L8" s="287" t="s">
        <v>447</v>
      </c>
      <c r="M8" s="287" t="s">
        <v>81</v>
      </c>
      <c r="N8" s="287" t="s">
        <v>450</v>
      </c>
      <c r="O8" s="646" t="s">
        <v>1067</v>
      </c>
      <c r="P8" s="646" t="s">
        <v>1068</v>
      </c>
      <c r="Q8" s="646" t="s">
        <v>1069</v>
      </c>
      <c r="R8" s="646" t="s">
        <v>1070</v>
      </c>
      <c r="S8" s="646" t="s">
        <v>1071</v>
      </c>
      <c r="T8" s="1593"/>
    </row>
    <row r="9" spans="2:20" s="6" customFormat="1" x14ac:dyDescent="0.3">
      <c r="B9" s="1798"/>
      <c r="C9" s="1798"/>
      <c r="D9" s="287" t="s">
        <v>82</v>
      </c>
      <c r="E9" s="287" t="s">
        <v>83</v>
      </c>
      <c r="F9" s="287" t="s">
        <v>675</v>
      </c>
      <c r="G9" s="287" t="s">
        <v>391</v>
      </c>
      <c r="H9" s="287" t="s">
        <v>409</v>
      </c>
      <c r="I9" s="287" t="s">
        <v>454</v>
      </c>
      <c r="J9" s="287" t="s">
        <v>410</v>
      </c>
      <c r="K9" s="287" t="s">
        <v>411</v>
      </c>
      <c r="L9" s="287" t="s">
        <v>588</v>
      </c>
      <c r="M9" s="287" t="s">
        <v>676</v>
      </c>
      <c r="N9" s="287" t="s">
        <v>502</v>
      </c>
      <c r="O9" s="638" t="s">
        <v>21</v>
      </c>
      <c r="P9" s="638" t="s">
        <v>21</v>
      </c>
      <c r="Q9" s="638" t="s">
        <v>21</v>
      </c>
      <c r="R9" s="638" t="s">
        <v>21</v>
      </c>
      <c r="S9" s="638" t="s">
        <v>21</v>
      </c>
      <c r="T9" s="1594"/>
    </row>
    <row r="10" spans="2:20" s="6" customFormat="1" ht="15.75" customHeight="1" x14ac:dyDescent="0.3">
      <c r="B10" s="90">
        <v>1</v>
      </c>
      <c r="C10" s="759" t="s">
        <v>472</v>
      </c>
      <c r="D10" s="302"/>
      <c r="E10" s="302"/>
      <c r="F10" s="302"/>
      <c r="G10" s="302"/>
      <c r="H10" s="302"/>
      <c r="I10" s="302"/>
      <c r="J10" s="302"/>
      <c r="K10" s="302"/>
      <c r="L10" s="302"/>
      <c r="M10" s="302">
        <f>K10+L10</f>
        <v>0</v>
      </c>
      <c r="N10" s="302"/>
      <c r="O10" s="302"/>
      <c r="P10" s="302"/>
      <c r="Q10" s="302"/>
      <c r="R10" s="302"/>
      <c r="S10" s="302"/>
      <c r="T10" s="24"/>
    </row>
    <row r="11" spans="2:20" s="6" customFormat="1" ht="15.75" customHeight="1" x14ac:dyDescent="0.3">
      <c r="B11" s="90">
        <f>B10+1</f>
        <v>2</v>
      </c>
      <c r="C11" s="760" t="s">
        <v>471</v>
      </c>
      <c r="D11" s="302"/>
      <c r="E11" s="302">
        <v>0.57967880258677695</v>
      </c>
      <c r="F11" s="302"/>
      <c r="G11" s="302"/>
      <c r="H11" s="302">
        <v>5.5200495867768597E-3</v>
      </c>
      <c r="I11" s="302"/>
      <c r="J11" s="302"/>
      <c r="K11" s="302">
        <v>2.7600247933884299E-3</v>
      </c>
      <c r="L11" s="302">
        <v>2.7600247933884299E-3</v>
      </c>
      <c r="M11" s="302">
        <f>K11+L11</f>
        <v>5.5200495867768597E-3</v>
      </c>
      <c r="N11" s="302"/>
      <c r="O11" s="302">
        <v>0</v>
      </c>
      <c r="P11" s="302">
        <v>0</v>
      </c>
      <c r="Q11" s="302">
        <v>0</v>
      </c>
      <c r="R11" s="302">
        <v>0</v>
      </c>
      <c r="S11" s="302">
        <v>0</v>
      </c>
      <c r="T11" s="24"/>
    </row>
    <row r="12" spans="2:20" s="6" customFormat="1" ht="15.75" customHeight="1" x14ac:dyDescent="0.3">
      <c r="B12" s="90">
        <f t="shared" ref="B12:B20" si="0">B11+1</f>
        <v>3</v>
      </c>
      <c r="C12" s="761" t="s">
        <v>327</v>
      </c>
      <c r="D12" s="302"/>
      <c r="E12" s="302"/>
      <c r="F12" s="302"/>
      <c r="G12" s="302"/>
      <c r="H12" s="302"/>
      <c r="I12" s="302"/>
      <c r="J12" s="302"/>
      <c r="K12" s="302"/>
      <c r="L12" s="302"/>
      <c r="M12" s="302">
        <f t="shared" ref="M12:M21" si="1">K12+L12</f>
        <v>0</v>
      </c>
      <c r="N12" s="302"/>
      <c r="O12" s="302"/>
      <c r="P12" s="302"/>
      <c r="Q12" s="302"/>
      <c r="R12" s="302"/>
      <c r="S12" s="302"/>
      <c r="T12" s="24"/>
    </row>
    <row r="13" spans="2:20" s="6" customFormat="1" ht="15.75" customHeight="1" x14ac:dyDescent="0.3">
      <c r="B13" s="90">
        <f t="shared" si="0"/>
        <v>4</v>
      </c>
      <c r="C13" s="761" t="s">
        <v>301</v>
      </c>
      <c r="D13" s="302"/>
      <c r="E13" s="302"/>
      <c r="F13" s="302"/>
      <c r="G13" s="302"/>
      <c r="H13" s="302"/>
      <c r="I13" s="302"/>
      <c r="J13" s="302"/>
      <c r="K13" s="302"/>
      <c r="L13" s="302"/>
      <c r="M13" s="302">
        <f t="shared" si="1"/>
        <v>0</v>
      </c>
      <c r="N13" s="302"/>
      <c r="O13" s="302">
        <v>0</v>
      </c>
      <c r="P13" s="302">
        <v>0</v>
      </c>
      <c r="Q13" s="302">
        <v>0</v>
      </c>
      <c r="R13" s="302">
        <v>0</v>
      </c>
      <c r="S13" s="302">
        <v>0</v>
      </c>
      <c r="T13" s="24"/>
    </row>
    <row r="14" spans="2:20" s="6" customFormat="1" ht="15.75" customHeight="1" x14ac:dyDescent="0.3">
      <c r="B14" s="90">
        <f t="shared" si="0"/>
        <v>5</v>
      </c>
      <c r="C14" s="761" t="s">
        <v>473</v>
      </c>
      <c r="D14" s="302"/>
      <c r="E14" s="302"/>
      <c r="F14" s="302"/>
      <c r="G14" s="302"/>
      <c r="H14" s="302"/>
      <c r="I14" s="302"/>
      <c r="J14" s="302"/>
      <c r="K14" s="302"/>
      <c r="L14" s="302"/>
      <c r="M14" s="302">
        <f t="shared" si="1"/>
        <v>0</v>
      </c>
      <c r="N14" s="302"/>
      <c r="O14" s="302"/>
      <c r="P14" s="302"/>
      <c r="Q14" s="302"/>
      <c r="R14" s="302"/>
      <c r="S14" s="302"/>
      <c r="T14" s="24"/>
    </row>
    <row r="15" spans="2:20" s="6" customFormat="1" ht="56" x14ac:dyDescent="0.3">
      <c r="B15" s="90">
        <f t="shared" si="0"/>
        <v>6</v>
      </c>
      <c r="C15" s="761" t="s">
        <v>348</v>
      </c>
      <c r="D15" s="302"/>
      <c r="E15" s="302">
        <v>0.41972912950413199</v>
      </c>
      <c r="F15" s="302"/>
      <c r="G15" s="302"/>
      <c r="H15" s="302">
        <v>0.47009908926446298</v>
      </c>
      <c r="I15" s="302"/>
      <c r="J15" s="302"/>
      <c r="K15" s="302">
        <v>0.23504954463223149</v>
      </c>
      <c r="L15" s="302">
        <v>0.23504954463223149</v>
      </c>
      <c r="M15" s="302">
        <f t="shared" si="1"/>
        <v>0.47009908926446298</v>
      </c>
      <c r="N15" s="302"/>
      <c r="O15" s="302"/>
      <c r="P15" s="302"/>
      <c r="Q15" s="302"/>
      <c r="R15" s="302"/>
      <c r="S15" s="302"/>
      <c r="T15" s="24"/>
    </row>
    <row r="16" spans="2:20" s="6" customFormat="1" x14ac:dyDescent="0.3">
      <c r="B16" s="90">
        <f t="shared" si="0"/>
        <v>7</v>
      </c>
      <c r="C16" s="762" t="s">
        <v>818</v>
      </c>
      <c r="D16" s="302"/>
      <c r="E16" s="302">
        <v>0.106754166446281</v>
      </c>
      <c r="F16" s="302"/>
      <c r="G16" s="302"/>
      <c r="H16" s="302">
        <v>0.13656802558699699</v>
      </c>
      <c r="I16" s="302"/>
      <c r="J16" s="302"/>
      <c r="K16" s="302">
        <v>6.8284012793498494E-2</v>
      </c>
      <c r="L16" s="302">
        <v>6.8284012793498494E-2</v>
      </c>
      <c r="M16" s="302">
        <f t="shared" si="1"/>
        <v>0.13656802558699699</v>
      </c>
      <c r="N16" s="302"/>
      <c r="O16" s="302"/>
      <c r="P16" s="302"/>
      <c r="Q16" s="302"/>
      <c r="R16" s="302"/>
      <c r="S16" s="302"/>
      <c r="T16" s="24"/>
    </row>
    <row r="17" spans="2:20" ht="15.75" customHeight="1" x14ac:dyDescent="0.3">
      <c r="B17" s="90">
        <f>B16+1</f>
        <v>8</v>
      </c>
      <c r="C17" s="762" t="s">
        <v>302</v>
      </c>
      <c r="D17" s="302"/>
      <c r="E17" s="302"/>
      <c r="F17" s="302"/>
      <c r="G17" s="302"/>
      <c r="H17" s="302"/>
      <c r="I17" s="302"/>
      <c r="J17" s="302"/>
      <c r="K17" s="302"/>
      <c r="L17" s="302"/>
      <c r="M17" s="302">
        <f t="shared" si="1"/>
        <v>0</v>
      </c>
      <c r="N17" s="302"/>
      <c r="O17" s="302"/>
      <c r="P17" s="302"/>
      <c r="Q17" s="302"/>
      <c r="R17" s="302"/>
      <c r="S17" s="302"/>
      <c r="T17" s="24"/>
    </row>
    <row r="18" spans="2:20" ht="15.75" customHeight="1" x14ac:dyDescent="0.3">
      <c r="B18" s="90">
        <f t="shared" si="0"/>
        <v>9</v>
      </c>
      <c r="C18" s="762" t="s">
        <v>303</v>
      </c>
      <c r="D18" s="302"/>
      <c r="E18" s="302"/>
      <c r="F18" s="302"/>
      <c r="G18" s="302"/>
      <c r="H18" s="302"/>
      <c r="I18" s="302"/>
      <c r="J18" s="302"/>
      <c r="K18" s="302"/>
      <c r="L18" s="302"/>
      <c r="M18" s="302">
        <f t="shared" si="1"/>
        <v>0</v>
      </c>
      <c r="N18" s="302"/>
      <c r="O18" s="302"/>
      <c r="P18" s="302"/>
      <c r="Q18" s="302"/>
      <c r="R18" s="302"/>
      <c r="S18" s="302"/>
      <c r="T18" s="24"/>
    </row>
    <row r="19" spans="2:20" ht="15.75" customHeight="1" x14ac:dyDescent="0.3">
      <c r="B19" s="90">
        <f t="shared" si="0"/>
        <v>10</v>
      </c>
      <c r="C19" s="761" t="s">
        <v>328</v>
      </c>
      <c r="D19" s="302"/>
      <c r="E19" s="302"/>
      <c r="F19" s="302"/>
      <c r="G19" s="302"/>
      <c r="H19" s="302"/>
      <c r="I19" s="302"/>
      <c r="J19" s="302"/>
      <c r="K19" s="302"/>
      <c r="L19" s="302"/>
      <c r="M19" s="302">
        <f t="shared" si="1"/>
        <v>0</v>
      </c>
      <c r="N19" s="302"/>
      <c r="O19" s="302"/>
      <c r="P19" s="302"/>
      <c r="Q19" s="302"/>
      <c r="R19" s="302"/>
      <c r="S19" s="302"/>
      <c r="T19" s="24"/>
    </row>
    <row r="20" spans="2:20" ht="15.75" customHeight="1" x14ac:dyDescent="0.3">
      <c r="B20" s="90">
        <f t="shared" si="0"/>
        <v>11</v>
      </c>
      <c r="C20" s="762" t="s">
        <v>807</v>
      </c>
      <c r="D20" s="302"/>
      <c r="E20" s="302">
        <v>0</v>
      </c>
      <c r="F20" s="302"/>
      <c r="G20" s="302"/>
      <c r="H20" s="302">
        <v>0</v>
      </c>
      <c r="I20" s="302"/>
      <c r="J20" s="302"/>
      <c r="K20" s="302">
        <v>0</v>
      </c>
      <c r="L20" s="302">
        <v>0</v>
      </c>
      <c r="M20" s="302">
        <f t="shared" si="1"/>
        <v>0</v>
      </c>
      <c r="N20" s="302"/>
      <c r="O20" s="302"/>
      <c r="P20" s="302"/>
      <c r="Q20" s="302"/>
      <c r="R20" s="302"/>
      <c r="S20" s="302"/>
      <c r="T20" s="24"/>
    </row>
    <row r="21" spans="2:20" ht="15.75" customHeight="1" x14ac:dyDescent="0.3">
      <c r="B21" s="90">
        <f t="shared" ref="B21:B26" si="2">+B20+1</f>
        <v>12</v>
      </c>
      <c r="C21" s="762" t="s">
        <v>824</v>
      </c>
      <c r="D21" s="302"/>
      <c r="E21" s="302"/>
      <c r="F21" s="302"/>
      <c r="G21" s="302"/>
      <c r="H21" s="302"/>
      <c r="I21" s="302"/>
      <c r="J21" s="302"/>
      <c r="K21" s="302"/>
      <c r="L21" s="302"/>
      <c r="M21" s="302">
        <f t="shared" si="1"/>
        <v>0</v>
      </c>
      <c r="N21" s="302"/>
      <c r="O21" s="302"/>
      <c r="P21" s="302"/>
      <c r="Q21" s="302"/>
      <c r="R21" s="302"/>
      <c r="S21" s="302"/>
      <c r="T21" s="24"/>
    </row>
    <row r="22" spans="2:20" s="11" customFormat="1" ht="67.5" customHeight="1" x14ac:dyDescent="0.3">
      <c r="B22" s="90">
        <f t="shared" si="2"/>
        <v>13</v>
      </c>
      <c r="C22" s="759" t="s">
        <v>808</v>
      </c>
      <c r="D22" s="302"/>
      <c r="E22" s="302">
        <v>8.3800978314049604E-2</v>
      </c>
      <c r="F22" s="302"/>
      <c r="G22" s="302"/>
      <c r="H22" s="302">
        <v>9.7126362442479505E-2</v>
      </c>
      <c r="I22" s="302"/>
      <c r="J22" s="302"/>
      <c r="K22" s="302">
        <v>4.8563181221239753E-2</v>
      </c>
      <c r="L22" s="302">
        <v>4.8563181221239753E-2</v>
      </c>
      <c r="M22" s="302">
        <f>K22+L22</f>
        <v>9.7126362442479505E-2</v>
      </c>
      <c r="N22" s="302"/>
      <c r="O22" s="302"/>
      <c r="P22" s="302"/>
      <c r="Q22" s="302"/>
      <c r="R22" s="302"/>
      <c r="S22" s="302"/>
      <c r="T22" s="114"/>
    </row>
    <row r="23" spans="2:20" s="11" customFormat="1" ht="15.75" customHeight="1" x14ac:dyDescent="0.3">
      <c r="B23" s="90">
        <f t="shared" si="2"/>
        <v>14</v>
      </c>
      <c r="C23" s="762" t="s">
        <v>805</v>
      </c>
      <c r="D23" s="302"/>
      <c r="E23" s="302">
        <v>0.29011867911004402</v>
      </c>
      <c r="F23" s="302"/>
      <c r="G23" s="302"/>
      <c r="H23" s="302">
        <v>0.14760972708284401</v>
      </c>
      <c r="I23" s="302"/>
      <c r="J23" s="302"/>
      <c r="K23" s="302">
        <v>7.3804863541422003E-2</v>
      </c>
      <c r="L23" s="302">
        <v>7.3804863541422003E-2</v>
      </c>
      <c r="M23" s="302">
        <f t="shared" ref="M23:M25" si="3">K23+L23</f>
        <v>0.14760972708284401</v>
      </c>
      <c r="N23" s="302"/>
      <c r="O23" s="302"/>
      <c r="P23" s="302"/>
      <c r="Q23" s="302"/>
      <c r="R23" s="302"/>
      <c r="S23" s="302"/>
      <c r="T23" s="114"/>
    </row>
    <row r="24" spans="2:20" s="11" customFormat="1" ht="15.75" customHeight="1" x14ac:dyDescent="0.3">
      <c r="B24" s="90">
        <f t="shared" si="2"/>
        <v>15</v>
      </c>
      <c r="C24" s="762" t="s">
        <v>833</v>
      </c>
      <c r="D24" s="302"/>
      <c r="E24" s="302">
        <v>2.2889315330578499E-2</v>
      </c>
      <c r="F24" s="302"/>
      <c r="G24" s="302"/>
      <c r="H24" s="302">
        <v>0</v>
      </c>
      <c r="I24" s="302"/>
      <c r="J24" s="302"/>
      <c r="K24" s="302">
        <v>0</v>
      </c>
      <c r="L24" s="302">
        <v>0</v>
      </c>
      <c r="M24" s="302">
        <f t="shared" si="3"/>
        <v>0</v>
      </c>
      <c r="N24" s="302"/>
      <c r="O24" s="302"/>
      <c r="P24" s="302"/>
      <c r="Q24" s="302"/>
      <c r="R24" s="302"/>
      <c r="S24" s="302"/>
      <c r="T24" s="114"/>
    </row>
    <row r="25" spans="2:20" s="11" customFormat="1" ht="15.75" customHeight="1" x14ac:dyDescent="0.3">
      <c r="B25" s="90">
        <f t="shared" si="2"/>
        <v>16</v>
      </c>
      <c r="C25" s="762" t="s">
        <v>834</v>
      </c>
      <c r="D25" s="302"/>
      <c r="E25" s="302">
        <v>0</v>
      </c>
      <c r="F25" s="302"/>
      <c r="G25" s="302"/>
      <c r="H25" s="302">
        <v>-3.1608037190082601E-2</v>
      </c>
      <c r="I25" s="302"/>
      <c r="J25" s="302"/>
      <c r="K25" s="302">
        <v>-1.58040185950413E-2</v>
      </c>
      <c r="L25" s="302">
        <v>-1.58040185950413E-2</v>
      </c>
      <c r="M25" s="302">
        <f t="shared" si="3"/>
        <v>-3.1608037190082601E-2</v>
      </c>
      <c r="N25" s="302"/>
      <c r="O25" s="302"/>
      <c r="P25" s="302"/>
      <c r="Q25" s="302"/>
      <c r="R25" s="302"/>
      <c r="S25" s="302"/>
      <c r="T25" s="114"/>
    </row>
    <row r="26" spans="2:20" s="1" customFormat="1" x14ac:dyDescent="0.3">
      <c r="B26" s="90">
        <f t="shared" si="2"/>
        <v>17</v>
      </c>
      <c r="C26" s="763" t="s">
        <v>271</v>
      </c>
      <c r="D26" s="322">
        <v>3.9892058040198344</v>
      </c>
      <c r="E26" s="322">
        <f>SUM(E10:E25)</f>
        <v>1.502971071291862</v>
      </c>
      <c r="F26" s="302">
        <f t="shared" ref="F26" si="4">E26-D26</f>
        <v>-2.4862347327279721</v>
      </c>
      <c r="G26" s="781">
        <v>1.7770808210402742</v>
      </c>
      <c r="H26" s="781">
        <f>SUM(H10:H25)</f>
        <v>0.82531521677347774</v>
      </c>
      <c r="I26" s="778">
        <f>H26-G26</f>
        <v>-0.95176560426679646</v>
      </c>
      <c r="J26" s="781">
        <v>1.7770808210402742</v>
      </c>
      <c r="K26" s="322">
        <f>SUM(K10:K25)</f>
        <v>0.41265760838673887</v>
      </c>
      <c r="L26" s="322">
        <f>SUM(L10:L25)</f>
        <v>0.41265760838673887</v>
      </c>
      <c r="M26" s="302">
        <f>K26+L26</f>
        <v>0.82531521677347774</v>
      </c>
      <c r="N26" s="302">
        <f>M26-J26</f>
        <v>-0.95176560426679646</v>
      </c>
      <c r="O26" s="322">
        <v>0.82531521677347774</v>
      </c>
      <c r="P26" s="322">
        <v>0.82531521677347774</v>
      </c>
      <c r="Q26" s="322">
        <v>0.82531521677347774</v>
      </c>
      <c r="R26" s="322">
        <v>0.82531521677347774</v>
      </c>
      <c r="S26" s="322">
        <v>0.82531521677347774</v>
      </c>
      <c r="T26" s="24"/>
    </row>
    <row r="27" spans="2:20" s="1" customFormat="1" x14ac:dyDescent="0.3">
      <c r="B27" s="5"/>
      <c r="C27" s="36"/>
    </row>
    <row r="28" spans="2:20" x14ac:dyDescent="0.3">
      <c r="B28" s="7" t="s">
        <v>711</v>
      </c>
    </row>
  </sheetData>
  <mergeCells count="10">
    <mergeCell ref="B2:T2"/>
    <mergeCell ref="B3:T3"/>
    <mergeCell ref="B4:T4"/>
    <mergeCell ref="B7:B9"/>
    <mergeCell ref="C7:C9"/>
    <mergeCell ref="J7:N7"/>
    <mergeCell ref="D7:F7"/>
    <mergeCell ref="G7:I7"/>
    <mergeCell ref="T7:T9"/>
    <mergeCell ref="O7:S7"/>
  </mergeCells>
  <pageMargins left="0.38" right="0.55000000000000004" top="0.66" bottom="0.66" header="0.5" footer="0.5"/>
  <pageSetup paperSize="9" scale="42"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B1:L31"/>
  <sheetViews>
    <sheetView showGridLines="0" view="pageLayout" zoomScaleNormal="75" zoomScaleSheetLayoutView="70" workbookViewId="0">
      <selection activeCell="F2" sqref="F2:F3"/>
    </sheetView>
  </sheetViews>
  <sheetFormatPr defaultColWidth="8.6328125" defaultRowHeight="14" x14ac:dyDescent="0.25"/>
  <cols>
    <col min="1" max="1" width="6.90625" style="14" customWidth="1"/>
    <col min="2" max="2" width="6.54296875" style="93" customWidth="1"/>
    <col min="3" max="3" width="49" style="14" customWidth="1"/>
    <col min="4" max="5" width="14.08984375" style="14" customWidth="1"/>
    <col min="6" max="7" width="12.90625" style="14" customWidth="1"/>
    <col min="8" max="20" width="13.90625" style="14" customWidth="1"/>
    <col min="21" max="16384" width="8.6328125" style="14"/>
  </cols>
  <sheetData>
    <row r="1" spans="2:11" x14ac:dyDescent="0.25">
      <c r="C1" s="1347"/>
      <c r="D1" s="1347"/>
      <c r="E1" s="1347"/>
    </row>
    <row r="2" spans="2:11" x14ac:dyDescent="0.25">
      <c r="C2" s="1347"/>
      <c r="D2" s="1347"/>
      <c r="E2" s="1347"/>
      <c r="F2" s="1345" t="str">
        <f>Index!B2</f>
        <v xml:space="preserve">      Maharashtra State Power Generation Company Ltd.</v>
      </c>
      <c r="G2" s="1345"/>
    </row>
    <row r="3" spans="2:11" x14ac:dyDescent="0.25">
      <c r="C3" s="1347"/>
      <c r="D3" s="1347"/>
      <c r="E3" s="1347"/>
      <c r="F3" s="1345" t="str">
        <f>Index!B3</f>
        <v>MYT Petition Formats for Bhusawal Unit 3</v>
      </c>
      <c r="G3" s="1346"/>
    </row>
    <row r="4" spans="2:11" x14ac:dyDescent="0.3">
      <c r="C4" s="1347"/>
      <c r="D4" s="1347"/>
      <c r="E4" s="1347"/>
      <c r="F4" s="125" t="s">
        <v>1734</v>
      </c>
      <c r="G4" s="125"/>
    </row>
    <row r="6" spans="2:11" ht="28" x14ac:dyDescent="0.25">
      <c r="B6" s="1343" t="s">
        <v>340</v>
      </c>
      <c r="C6" s="1343" t="s">
        <v>38</v>
      </c>
      <c r="D6" s="1344" t="s">
        <v>605</v>
      </c>
      <c r="E6" s="1344" t="s">
        <v>505</v>
      </c>
      <c r="F6" s="1344" t="s">
        <v>506</v>
      </c>
      <c r="G6" s="1343" t="s">
        <v>1735</v>
      </c>
    </row>
    <row r="7" spans="2:11" x14ac:dyDescent="0.25">
      <c r="B7" s="94">
        <v>1</v>
      </c>
      <c r="C7" s="1348" t="s">
        <v>606</v>
      </c>
      <c r="D7" s="1349" t="s">
        <v>82</v>
      </c>
      <c r="E7" s="24"/>
      <c r="F7" s="24"/>
      <c r="G7" s="24"/>
    </row>
    <row r="8" spans="2:11" x14ac:dyDescent="0.25">
      <c r="B8" s="94">
        <f>B7+1</f>
        <v>2</v>
      </c>
      <c r="C8" s="1348" t="s">
        <v>551</v>
      </c>
      <c r="D8" s="1349" t="s">
        <v>83</v>
      </c>
      <c r="E8" s="24"/>
      <c r="F8" s="24"/>
      <c r="G8" s="24"/>
    </row>
    <row r="9" spans="2:11" x14ac:dyDescent="0.25">
      <c r="B9" s="94">
        <f>B8+1</f>
        <v>3</v>
      </c>
      <c r="C9" s="1348" t="s">
        <v>1736</v>
      </c>
      <c r="D9" s="1349" t="s">
        <v>553</v>
      </c>
      <c r="E9" s="24"/>
      <c r="F9" s="24"/>
      <c r="G9" s="24"/>
    </row>
    <row r="10" spans="2:11" x14ac:dyDescent="0.25">
      <c r="B10" s="94"/>
      <c r="C10" s="1350"/>
      <c r="D10" s="1350"/>
      <c r="E10" s="24"/>
      <c r="F10" s="24"/>
      <c r="G10" s="24"/>
    </row>
    <row r="11" spans="2:11" x14ac:dyDescent="0.25">
      <c r="B11" s="94">
        <v>4</v>
      </c>
      <c r="C11" s="1348" t="s">
        <v>607</v>
      </c>
      <c r="D11" s="1349" t="s">
        <v>391</v>
      </c>
      <c r="E11" s="24"/>
      <c r="F11" s="24"/>
      <c r="G11" s="24"/>
    </row>
    <row r="12" spans="2:11" x14ac:dyDescent="0.25">
      <c r="B12" s="94">
        <v>5</v>
      </c>
      <c r="C12" s="1348" t="s">
        <v>730</v>
      </c>
      <c r="D12" s="1349" t="s">
        <v>392</v>
      </c>
      <c r="E12" s="24"/>
      <c r="F12" s="24"/>
      <c r="G12" s="24"/>
    </row>
    <row r="13" spans="2:11" x14ac:dyDescent="0.25">
      <c r="B13" s="94">
        <v>6</v>
      </c>
      <c r="C13" s="1348" t="s">
        <v>731</v>
      </c>
      <c r="D13" s="1349" t="s">
        <v>732</v>
      </c>
      <c r="E13" s="24"/>
      <c r="F13" s="24"/>
      <c r="G13" s="24"/>
    </row>
    <row r="14" spans="2:11" x14ac:dyDescent="0.25">
      <c r="B14" s="94">
        <v>7</v>
      </c>
      <c r="C14" s="1350" t="s">
        <v>552</v>
      </c>
      <c r="D14" s="1351" t="s">
        <v>733</v>
      </c>
      <c r="E14" s="24"/>
      <c r="F14" s="24"/>
      <c r="G14" s="24"/>
    </row>
    <row r="15" spans="2:11" x14ac:dyDescent="0.25">
      <c r="C15" s="1352"/>
      <c r="D15" s="1353"/>
    </row>
    <row r="16" spans="2:11" ht="49.65" customHeight="1" x14ac:dyDescent="0.25">
      <c r="C16" s="1785" t="s">
        <v>1737</v>
      </c>
      <c r="D16" s="1785"/>
      <c r="E16" s="1785"/>
      <c r="F16" s="1785"/>
      <c r="G16" s="1785"/>
      <c r="H16" s="1785"/>
      <c r="I16" s="1785"/>
      <c r="J16" s="1785"/>
      <c r="K16" s="1785"/>
    </row>
    <row r="17" spans="2:12" x14ac:dyDescent="0.25">
      <c r="C17" s="14" t="s">
        <v>1738</v>
      </c>
    </row>
    <row r="18" spans="2:12" x14ac:dyDescent="0.25">
      <c r="C18" s="14" t="s">
        <v>1739</v>
      </c>
    </row>
    <row r="20" spans="2:12" x14ac:dyDescent="0.25">
      <c r="C20" s="1354"/>
      <c r="D20" s="1354"/>
      <c r="E20" s="1354"/>
      <c r="F20" s="1355"/>
      <c r="G20" s="1355"/>
      <c r="H20" s="1355"/>
      <c r="I20" s="1355"/>
      <c r="J20" s="1355"/>
      <c r="K20" s="1355"/>
      <c r="L20" s="1355"/>
    </row>
    <row r="22" spans="2:12" x14ac:dyDescent="0.25">
      <c r="B22" s="1799" t="s">
        <v>1740</v>
      </c>
      <c r="C22" s="1799"/>
      <c r="D22" s="1799"/>
      <c r="E22" s="1799"/>
      <c r="F22" s="1799"/>
      <c r="G22" s="1799"/>
      <c r="H22" s="1799"/>
      <c r="I22" s="1799"/>
      <c r="J22" s="210"/>
      <c r="K22" s="210"/>
    </row>
    <row r="23" spans="2:12" x14ac:dyDescent="0.25">
      <c r="B23" s="14"/>
    </row>
    <row r="24" spans="2:12" ht="28" x14ac:dyDescent="0.25">
      <c r="B24" s="1343" t="s">
        <v>340</v>
      </c>
      <c r="C24" s="1343" t="s">
        <v>38</v>
      </c>
      <c r="D24" s="1344" t="s">
        <v>605</v>
      </c>
      <c r="E24" s="1344" t="s">
        <v>1067</v>
      </c>
      <c r="F24" s="1344" t="s">
        <v>1068</v>
      </c>
      <c r="G24" s="1343" t="s">
        <v>1069</v>
      </c>
      <c r="H24" s="1343" t="s">
        <v>1070</v>
      </c>
      <c r="I24" s="1343" t="s">
        <v>1071</v>
      </c>
    </row>
    <row r="25" spans="2:12" x14ac:dyDescent="0.25">
      <c r="B25" s="94">
        <v>1</v>
      </c>
      <c r="C25" s="1348" t="s">
        <v>1741</v>
      </c>
      <c r="D25" s="1349" t="s">
        <v>82</v>
      </c>
      <c r="E25" s="1348"/>
      <c r="F25" s="1356"/>
      <c r="G25" s="1356"/>
      <c r="H25" s="1348"/>
      <c r="I25" s="1356"/>
    </row>
    <row r="26" spans="2:12" x14ac:dyDescent="0.25">
      <c r="B26" s="94"/>
      <c r="C26" s="1350"/>
      <c r="D26" s="1350"/>
      <c r="E26" s="1348"/>
      <c r="F26" s="1356"/>
      <c r="G26" s="1356"/>
      <c r="H26" s="1348"/>
      <c r="I26" s="1356"/>
    </row>
    <row r="27" spans="2:12" x14ac:dyDescent="0.25">
      <c r="B27" s="94">
        <v>2</v>
      </c>
      <c r="C27" s="1348" t="s">
        <v>1742</v>
      </c>
      <c r="D27" s="1349" t="s">
        <v>83</v>
      </c>
      <c r="E27" s="1348"/>
      <c r="F27" s="1356"/>
      <c r="G27" s="1356"/>
      <c r="H27" s="1348"/>
      <c r="I27" s="1356"/>
    </row>
    <row r="28" spans="2:12" x14ac:dyDescent="0.25">
      <c r="B28" s="94">
        <v>3</v>
      </c>
      <c r="C28" s="1350" t="s">
        <v>552</v>
      </c>
      <c r="D28" s="1351" t="s">
        <v>1743</v>
      </c>
      <c r="E28" s="1350"/>
      <c r="F28" s="1357"/>
      <c r="G28" s="1357"/>
      <c r="H28" s="1350"/>
      <c r="I28" s="1357"/>
    </row>
    <row r="29" spans="2:12" ht="29.4" customHeight="1" x14ac:dyDescent="0.25">
      <c r="B29" s="14"/>
      <c r="C29" s="1355"/>
    </row>
    <row r="30" spans="2:12" ht="43.65" customHeight="1" x14ac:dyDescent="0.25">
      <c r="B30" s="14"/>
      <c r="C30" s="1800" t="s">
        <v>1744</v>
      </c>
      <c r="D30" s="1785"/>
      <c r="E30" s="1785"/>
      <c r="F30" s="1785"/>
      <c r="G30" s="1785"/>
      <c r="H30" s="1785"/>
      <c r="I30" s="1785"/>
      <c r="J30" s="1785"/>
      <c r="K30" s="1785"/>
    </row>
    <row r="31" spans="2:12" x14ac:dyDescent="0.25">
      <c r="B31" s="14"/>
      <c r="C31" s="14" t="s">
        <v>1745</v>
      </c>
    </row>
  </sheetData>
  <mergeCells count="3">
    <mergeCell ref="B22:I22"/>
    <mergeCell ref="C30:K30"/>
    <mergeCell ref="C16:K16"/>
  </mergeCells>
  <pageMargins left="1.1023622047244099" right="0.27559055118110198" top="1.2204724409448799" bottom="0.98425196850393704" header="0.511811023622047" footer="0.511811023622047"/>
  <pageSetup paperSize="9" scale="35"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2">
    <pageSetUpPr fitToPage="1"/>
  </sheetPr>
  <dimension ref="B1:R89"/>
  <sheetViews>
    <sheetView showGridLines="0" view="pageBreakPreview" zoomScale="75" zoomScaleNormal="75" zoomScaleSheetLayoutView="75" workbookViewId="0">
      <selection activeCell="M8" sqref="M8"/>
    </sheetView>
  </sheetViews>
  <sheetFormatPr defaultColWidth="9.36328125" defaultRowHeight="14" x14ac:dyDescent="0.25"/>
  <cols>
    <col min="1" max="1" width="6.6328125" style="14" customWidth="1"/>
    <col min="2" max="2" width="7.36328125" style="14" customWidth="1"/>
    <col min="3" max="3" width="49" style="14" customWidth="1"/>
    <col min="4" max="4" width="10.36328125" style="14" bestFit="1" customWidth="1"/>
    <col min="5" max="5" width="11.6328125" style="14" customWidth="1"/>
    <col min="6" max="8" width="11" style="14" customWidth="1"/>
    <col min="9" max="9" width="14.453125" style="14" customWidth="1"/>
    <col min="10" max="10" width="13.6328125" style="14" customWidth="1"/>
    <col min="11" max="11" width="16" style="14" customWidth="1"/>
    <col min="12" max="12" width="21" style="14" customWidth="1"/>
    <col min="13" max="13" width="11.6328125" style="323" customWidth="1"/>
    <col min="14" max="14" width="11" style="14" customWidth="1"/>
    <col min="15" max="15" width="49.6328125" style="14" customWidth="1"/>
    <col min="16" max="16" width="16" style="14" customWidth="1"/>
    <col min="17" max="16384" width="9.36328125" style="14"/>
  </cols>
  <sheetData>
    <row r="1" spans="2:16" x14ac:dyDescent="0.25">
      <c r="C1" s="75"/>
    </row>
    <row r="2" spans="2:16" ht="15.65" customHeight="1" x14ac:dyDescent="0.25">
      <c r="B2" s="1598" t="str">
        <f>Index!B2</f>
        <v xml:space="preserve">      Maharashtra State Power Generation Company Ltd.</v>
      </c>
      <c r="C2" s="1598"/>
      <c r="D2" s="1598"/>
      <c r="E2" s="1598"/>
      <c r="F2" s="1598"/>
      <c r="G2" s="1598"/>
      <c r="H2" s="1598"/>
      <c r="I2" s="1598"/>
      <c r="J2" s="1598"/>
      <c r="K2" s="1598"/>
      <c r="L2" s="1598"/>
      <c r="N2" s="33"/>
      <c r="O2" s="33"/>
      <c r="P2" s="33"/>
    </row>
    <row r="3" spans="2:16" s="5" customFormat="1" ht="15.65" customHeight="1" x14ac:dyDescent="0.3">
      <c r="B3" s="1598" t="str">
        <f>Index!B3</f>
        <v>MYT Petition Formats for Bhusawal Unit 3</v>
      </c>
      <c r="C3" s="1598"/>
      <c r="D3" s="1598"/>
      <c r="E3" s="1598"/>
      <c r="F3" s="1598"/>
      <c r="G3" s="1598"/>
      <c r="H3" s="1598"/>
      <c r="I3" s="1598"/>
      <c r="J3" s="1598"/>
      <c r="K3" s="1598"/>
      <c r="L3" s="1598"/>
      <c r="M3" s="1361"/>
      <c r="N3" s="36"/>
      <c r="O3" s="36"/>
      <c r="P3" s="35"/>
    </row>
    <row r="4" spans="2:16" s="5" customFormat="1" ht="15.65" customHeight="1" x14ac:dyDescent="0.3">
      <c r="B4" s="1801" t="s">
        <v>350</v>
      </c>
      <c r="C4" s="1801"/>
      <c r="D4" s="1801"/>
      <c r="E4" s="1801"/>
      <c r="F4" s="1801"/>
      <c r="G4" s="1801"/>
      <c r="H4" s="1801"/>
      <c r="I4" s="1801"/>
      <c r="J4" s="1801"/>
      <c r="K4" s="1801"/>
      <c r="L4" s="1801"/>
      <c r="M4" s="1362"/>
      <c r="N4" s="76"/>
      <c r="O4" s="76"/>
      <c r="P4" s="76"/>
    </row>
    <row r="5" spans="2:16" x14ac:dyDescent="0.25">
      <c r="B5" s="33"/>
      <c r="C5" s="33"/>
      <c r="D5" s="33"/>
      <c r="E5" s="33"/>
      <c r="F5" s="33"/>
      <c r="G5" s="33"/>
      <c r="H5" s="33"/>
      <c r="I5" s="33"/>
      <c r="J5" s="33"/>
      <c r="K5" s="33"/>
      <c r="L5" s="33"/>
      <c r="N5" s="33"/>
      <c r="O5" s="33"/>
      <c r="P5" s="33"/>
    </row>
    <row r="6" spans="2:16" x14ac:dyDescent="0.25">
      <c r="B6" s="77" t="s">
        <v>505</v>
      </c>
      <c r="N6" s="33"/>
      <c r="O6" s="33"/>
      <c r="P6" s="33"/>
    </row>
    <row r="7" spans="2:16" x14ac:dyDescent="0.25">
      <c r="K7" s="21"/>
      <c r="L7" s="21" t="s">
        <v>10</v>
      </c>
      <c r="N7" s="33"/>
    </row>
    <row r="8" spans="2:16" ht="42" x14ac:dyDescent="0.25">
      <c r="B8" s="178" t="s">
        <v>340</v>
      </c>
      <c r="C8" s="179" t="s">
        <v>38</v>
      </c>
      <c r="D8" s="301" t="s">
        <v>1059</v>
      </c>
      <c r="E8" s="226" t="s">
        <v>802</v>
      </c>
      <c r="F8" s="226" t="s">
        <v>304</v>
      </c>
      <c r="G8" s="301" t="s">
        <v>774</v>
      </c>
      <c r="H8" s="301" t="s">
        <v>775</v>
      </c>
      <c r="I8" s="226" t="s">
        <v>408</v>
      </c>
      <c r="J8" s="226" t="s">
        <v>305</v>
      </c>
      <c r="K8" s="226" t="s">
        <v>306</v>
      </c>
      <c r="L8" s="226" t="s">
        <v>484</v>
      </c>
      <c r="N8" s="33"/>
    </row>
    <row r="9" spans="2:16" x14ac:dyDescent="0.25">
      <c r="B9" s="24"/>
      <c r="C9" s="24"/>
      <c r="D9" s="24" t="s">
        <v>352</v>
      </c>
      <c r="E9" s="24" t="s">
        <v>353</v>
      </c>
      <c r="F9" s="24" t="s">
        <v>776</v>
      </c>
      <c r="G9" s="24" t="s">
        <v>777</v>
      </c>
      <c r="H9" s="24"/>
      <c r="I9" s="24"/>
      <c r="J9" s="24"/>
      <c r="K9" s="24"/>
      <c r="L9" s="24"/>
      <c r="N9" s="33"/>
    </row>
    <row r="10" spans="2:16" x14ac:dyDescent="0.25">
      <c r="B10" s="234">
        <v>1</v>
      </c>
      <c r="C10" s="114" t="s">
        <v>84</v>
      </c>
      <c r="D10" s="474">
        <f>'F1'!F11</f>
        <v>307.9155689988487</v>
      </c>
      <c r="E10" s="475">
        <f>'F1'!G11</f>
        <v>432.94404524316815</v>
      </c>
      <c r="F10" s="474">
        <f>E10-D10</f>
        <v>125.02847624431945</v>
      </c>
      <c r="G10" s="474">
        <f>E10-D10</f>
        <v>125.02847624431945</v>
      </c>
      <c r="H10" s="476">
        <f>IF(G10&lt;0,2/3,1/3)*G10</f>
        <v>41.676158748106481</v>
      </c>
      <c r="I10" s="237"/>
      <c r="J10" s="237"/>
      <c r="K10" s="237"/>
      <c r="L10" s="315">
        <f>D10+H10</f>
        <v>349.5917277469552</v>
      </c>
      <c r="N10" s="33"/>
    </row>
    <row r="11" spans="2:16" x14ac:dyDescent="0.25">
      <c r="B11" s="234">
        <v>2</v>
      </c>
      <c r="C11" s="114" t="s">
        <v>1054</v>
      </c>
      <c r="D11" s="335">
        <f>'F3'!F17-D12</f>
        <v>105.24660807906189</v>
      </c>
      <c r="E11" s="470">
        <f>'F3'!G17-E12</f>
        <v>125.64025840892256</v>
      </c>
      <c r="F11" s="474">
        <f>E11-D11</f>
        <v>20.393650329860677</v>
      </c>
      <c r="G11" s="474">
        <f>E11-D11</f>
        <v>20.393650329860677</v>
      </c>
      <c r="H11" s="476">
        <f>IF(G11&lt;0,2/3,1/3)*G11</f>
        <v>6.7978834432868922</v>
      </c>
      <c r="I11" s="114"/>
      <c r="J11" s="114"/>
      <c r="K11" s="114"/>
      <c r="L11" s="315">
        <f>D11+H11</f>
        <v>112.04449152234878</v>
      </c>
      <c r="M11" s="581"/>
      <c r="N11" s="33"/>
    </row>
    <row r="12" spans="2:16" x14ac:dyDescent="0.25">
      <c r="B12" s="234"/>
      <c r="C12" s="114" t="s">
        <v>905</v>
      </c>
      <c r="D12" s="470">
        <f>'F3'!F14</f>
        <v>0</v>
      </c>
      <c r="E12" s="470">
        <f>'F3'!G14</f>
        <v>0</v>
      </c>
      <c r="F12" s="474">
        <f>E12-D12</f>
        <v>0</v>
      </c>
      <c r="G12" s="474">
        <f>E12-D12</f>
        <v>0</v>
      </c>
      <c r="H12" s="476"/>
      <c r="I12" s="114"/>
      <c r="J12" s="114"/>
      <c r="K12" s="114"/>
      <c r="L12" s="315">
        <f>D12+H12</f>
        <v>0</v>
      </c>
      <c r="M12" s="581"/>
      <c r="N12" s="33"/>
    </row>
    <row r="13" spans="2:16" x14ac:dyDescent="0.25">
      <c r="B13" s="234"/>
      <c r="C13" s="114" t="s">
        <v>906</v>
      </c>
      <c r="D13" s="335">
        <f>E13</f>
        <v>13.852178556644459</v>
      </c>
      <c r="E13" s="470">
        <f>'F3.1'!E27</f>
        <v>13.852178556644459</v>
      </c>
      <c r="F13" s="474"/>
      <c r="G13" s="474"/>
      <c r="H13" s="476"/>
      <c r="I13" s="114"/>
      <c r="J13" s="114"/>
      <c r="K13" s="114"/>
      <c r="L13" s="315">
        <f>E13</f>
        <v>13.852178556644459</v>
      </c>
      <c r="N13" s="33"/>
      <c r="O13" s="33"/>
      <c r="P13" s="33"/>
    </row>
    <row r="14" spans="2:16" x14ac:dyDescent="0.25">
      <c r="B14" s="234">
        <v>3</v>
      </c>
      <c r="C14" s="115" t="s">
        <v>86</v>
      </c>
      <c r="D14" s="335">
        <f>SUM('F1'!$F$15:$F$16)</f>
        <v>9.1605761981309115</v>
      </c>
      <c r="E14" s="335">
        <f>SUM('F1'!$G$15:$G$16)</f>
        <v>9.1605761981309115</v>
      </c>
      <c r="F14" s="474">
        <f>E14-D14</f>
        <v>0</v>
      </c>
      <c r="G14" s="474">
        <f t="shared" ref="G14:G23" si="0">E14-D14</f>
        <v>0</v>
      </c>
      <c r="H14" s="114"/>
      <c r="I14" s="114"/>
      <c r="J14" s="114"/>
      <c r="K14" s="114"/>
      <c r="L14" s="315">
        <f>E14</f>
        <v>9.1605761981309115</v>
      </c>
      <c r="N14" s="33"/>
      <c r="O14" s="33"/>
      <c r="P14" s="33"/>
    </row>
    <row r="15" spans="2:16" x14ac:dyDescent="0.25">
      <c r="B15" s="234">
        <v>4</v>
      </c>
      <c r="C15" s="114" t="s">
        <v>87</v>
      </c>
      <c r="D15" s="335">
        <f>'F1'!F17</f>
        <v>0.4635893433978584</v>
      </c>
      <c r="E15" s="470">
        <f>SUM('F1'!G17:G18)</f>
        <v>0.4635893433978584</v>
      </c>
      <c r="F15" s="474">
        <f>E15-D15</f>
        <v>0</v>
      </c>
      <c r="G15" s="474">
        <f t="shared" si="0"/>
        <v>0</v>
      </c>
      <c r="H15" s="114"/>
      <c r="I15" s="114"/>
      <c r="J15" s="114"/>
      <c r="K15" s="114"/>
      <c r="L15" s="315">
        <f>E15</f>
        <v>0.4635893433978584</v>
      </c>
      <c r="N15" s="33"/>
      <c r="O15" s="33"/>
      <c r="P15" s="33"/>
    </row>
    <row r="16" spans="2:16" x14ac:dyDescent="0.25">
      <c r="B16" s="234">
        <v>5</v>
      </c>
      <c r="C16" s="480" t="s">
        <v>88</v>
      </c>
      <c r="D16" s="470">
        <f>SUM('F1'!F19:F20)</f>
        <v>11.535798507730322</v>
      </c>
      <c r="E16" s="470">
        <f>SUM('F1'!G19:G20)</f>
        <v>24.055384795471554</v>
      </c>
      <c r="F16" s="474">
        <f>E16-D16</f>
        <v>12.519586287741232</v>
      </c>
      <c r="G16" s="474">
        <f>E16-D16</f>
        <v>12.519586287741232</v>
      </c>
      <c r="H16" s="476">
        <f>IF(G16&lt;0,2/3,1/3)*G16</f>
        <v>4.1731954292470768</v>
      </c>
      <c r="I16" s="114"/>
      <c r="J16" s="114"/>
      <c r="K16" s="114"/>
      <c r="L16" s="315">
        <f>D16+H16</f>
        <v>15.708993936977398</v>
      </c>
      <c r="N16" s="33"/>
      <c r="O16" s="33"/>
      <c r="P16" s="33"/>
    </row>
    <row r="17" spans="2:18" x14ac:dyDescent="0.25">
      <c r="B17" s="234">
        <v>6</v>
      </c>
      <c r="C17" s="115" t="s">
        <v>89</v>
      </c>
      <c r="D17" s="335">
        <f>'F1'!F21</f>
        <v>5.3713248137177052</v>
      </c>
      <c r="E17" s="470">
        <f>'F1'!G21</f>
        <v>5.3713248137177052</v>
      </c>
      <c r="F17" s="474">
        <f>E17-D17</f>
        <v>0</v>
      </c>
      <c r="G17" s="474">
        <f t="shared" si="0"/>
        <v>0</v>
      </c>
      <c r="H17" s="114"/>
      <c r="I17" s="114"/>
      <c r="J17" s="114"/>
      <c r="K17" s="114"/>
      <c r="L17" s="315">
        <f>E17</f>
        <v>5.3713248137177052</v>
      </c>
      <c r="N17" s="33"/>
      <c r="O17" s="33"/>
      <c r="P17" s="33"/>
    </row>
    <row r="18" spans="2:18" x14ac:dyDescent="0.25">
      <c r="B18" s="234">
        <v>7</v>
      </c>
      <c r="C18" s="114" t="s">
        <v>90</v>
      </c>
      <c r="D18" s="335">
        <f>'F1'!F22</f>
        <v>0</v>
      </c>
      <c r="E18" s="470">
        <f>'F1'!G22</f>
        <v>0</v>
      </c>
      <c r="F18" s="474">
        <f>E18-D18</f>
        <v>0</v>
      </c>
      <c r="G18" s="474">
        <f t="shared" si="0"/>
        <v>0</v>
      </c>
      <c r="H18" s="114"/>
      <c r="I18" s="114"/>
      <c r="J18" s="114"/>
      <c r="K18" s="114"/>
      <c r="L18" s="315">
        <f>E18</f>
        <v>0</v>
      </c>
      <c r="N18" s="33"/>
      <c r="O18" s="33"/>
      <c r="P18" s="33"/>
    </row>
    <row r="19" spans="2:18" x14ac:dyDescent="0.25">
      <c r="B19" s="234"/>
      <c r="C19" s="114"/>
      <c r="D19" s="114"/>
      <c r="E19" s="470"/>
      <c r="F19" s="474"/>
      <c r="G19" s="474">
        <f t="shared" si="0"/>
        <v>0</v>
      </c>
      <c r="H19" s="114"/>
      <c r="I19" s="114"/>
      <c r="J19" s="114"/>
      <c r="K19" s="114"/>
      <c r="L19" s="315"/>
      <c r="N19" s="33"/>
      <c r="O19" s="33"/>
      <c r="P19" s="33"/>
      <c r="Q19" s="577"/>
    </row>
    <row r="20" spans="2:18" x14ac:dyDescent="0.25">
      <c r="B20" s="310">
        <v>8</v>
      </c>
      <c r="C20" s="237" t="s">
        <v>91</v>
      </c>
      <c r="D20" s="474">
        <f>SUM(D10:D19)</f>
        <v>453.54564449753184</v>
      </c>
      <c r="E20" s="475">
        <f>SUM(E10:E19)</f>
        <v>611.48735735945331</v>
      </c>
      <c r="F20" s="474">
        <f>E20-D20</f>
        <v>157.94171286192147</v>
      </c>
      <c r="G20" s="474">
        <f t="shared" si="0"/>
        <v>157.94171286192147</v>
      </c>
      <c r="H20" s="237"/>
      <c r="I20" s="237"/>
      <c r="J20" s="237"/>
      <c r="K20" s="237"/>
      <c r="L20" s="358">
        <f>SUM(L10:L19)</f>
        <v>506.19288211817229</v>
      </c>
      <c r="M20" s="1363"/>
      <c r="N20" s="33"/>
      <c r="O20" s="33"/>
      <c r="P20" s="33"/>
    </row>
    <row r="21" spans="2:18" x14ac:dyDescent="0.25">
      <c r="B21" s="234">
        <v>9</v>
      </c>
      <c r="C21" s="114" t="s">
        <v>92</v>
      </c>
      <c r="D21" s="470">
        <f>SUM('F1'!F24:F25)</f>
        <v>13.406858314251224</v>
      </c>
      <c r="E21" s="470">
        <f>SUM('F1'!G24:G25)</f>
        <v>13.406858314251224</v>
      </c>
      <c r="F21" s="474">
        <f>E21-D21</f>
        <v>0</v>
      </c>
      <c r="G21" s="474">
        <f t="shared" si="0"/>
        <v>0</v>
      </c>
      <c r="H21" s="237"/>
      <c r="I21" s="237"/>
      <c r="J21" s="237"/>
      <c r="K21" s="237"/>
      <c r="L21" s="315">
        <f>E21</f>
        <v>13.406858314251224</v>
      </c>
      <c r="N21" s="33"/>
      <c r="O21" s="33"/>
      <c r="P21" s="33"/>
    </row>
    <row r="22" spans="2:18" x14ac:dyDescent="0.25">
      <c r="B22" s="234">
        <v>10</v>
      </c>
      <c r="C22" s="114" t="s">
        <v>93</v>
      </c>
      <c r="D22" s="335">
        <f>'F1'!F26</f>
        <v>1.502971071291862</v>
      </c>
      <c r="E22" s="470">
        <f>'F1'!G26</f>
        <v>1.502971071291862</v>
      </c>
      <c r="F22" s="474">
        <f>E22-D22</f>
        <v>0</v>
      </c>
      <c r="G22" s="474">
        <f t="shared" si="0"/>
        <v>0</v>
      </c>
      <c r="H22" s="114"/>
      <c r="I22" s="114"/>
      <c r="J22" s="114"/>
      <c r="K22" s="114"/>
      <c r="L22" s="315">
        <f>E22</f>
        <v>1.502971071291862</v>
      </c>
      <c r="N22" s="33"/>
      <c r="O22" s="33"/>
      <c r="P22" s="33"/>
    </row>
    <row r="23" spans="2:18" x14ac:dyDescent="0.25">
      <c r="B23" s="310">
        <v>11</v>
      </c>
      <c r="C23" s="237" t="s">
        <v>94</v>
      </c>
      <c r="D23" s="474">
        <f>D20+D21-D22</f>
        <v>465.44953174049118</v>
      </c>
      <c r="E23" s="475">
        <f>E20+E21-E22</f>
        <v>623.39124460241271</v>
      </c>
      <c r="F23" s="474">
        <f>E23-D23</f>
        <v>157.94171286192153</v>
      </c>
      <c r="G23" s="474">
        <f t="shared" si="0"/>
        <v>157.94171286192153</v>
      </c>
      <c r="H23" s="237"/>
      <c r="I23" s="237"/>
      <c r="J23" s="237"/>
      <c r="K23" s="237"/>
      <c r="L23" s="358">
        <f>L20+L21-L22</f>
        <v>518.09676936113158</v>
      </c>
      <c r="M23" s="1364">
        <v>0</v>
      </c>
      <c r="N23" s="33"/>
      <c r="O23" s="33"/>
      <c r="P23" s="33"/>
    </row>
    <row r="24" spans="2:18" ht="15.5" x14ac:dyDescent="0.25">
      <c r="B24" s="234">
        <v>12</v>
      </c>
      <c r="C24" s="765" t="s">
        <v>920</v>
      </c>
      <c r="D24" s="335">
        <v>31.310122828250115</v>
      </c>
      <c r="E24" s="470">
        <f>'AFC Reduction and AEC loss'!D8</f>
        <v>41.700764224012005</v>
      </c>
      <c r="F24" s="474"/>
      <c r="G24" s="474"/>
      <c r="H24" s="237"/>
      <c r="I24" s="237"/>
      <c r="J24" s="237"/>
      <c r="K24" s="237"/>
      <c r="L24" s="315">
        <f>E24</f>
        <v>41.700764224012005</v>
      </c>
      <c r="N24" s="33"/>
      <c r="O24" s="33"/>
      <c r="P24" s="33"/>
    </row>
    <row r="25" spans="2:18" ht="15" x14ac:dyDescent="0.25">
      <c r="B25" s="310" t="s">
        <v>173</v>
      </c>
      <c r="C25" s="766" t="s">
        <v>1149</v>
      </c>
      <c r="D25" s="474"/>
      <c r="E25" s="475"/>
      <c r="F25" s="474"/>
      <c r="G25" s="474"/>
      <c r="H25" s="237"/>
      <c r="I25" s="237"/>
      <c r="J25" s="237"/>
      <c r="K25" s="237"/>
      <c r="L25" s="358">
        <f>L23-L24</f>
        <v>476.39600513711957</v>
      </c>
      <c r="N25" s="33"/>
      <c r="O25" s="33"/>
      <c r="P25" s="33"/>
    </row>
    <row r="26" spans="2:18" x14ac:dyDescent="0.25">
      <c r="B26" s="477"/>
      <c r="C26" s="478"/>
      <c r="D26" s="237"/>
      <c r="E26" s="475"/>
      <c r="F26" s="237"/>
      <c r="G26" s="237"/>
      <c r="H26" s="237"/>
      <c r="I26" s="237"/>
      <c r="J26" s="237"/>
      <c r="K26" s="237"/>
      <c r="L26" s="315"/>
      <c r="N26" s="33"/>
      <c r="O26" s="33"/>
      <c r="P26" s="33"/>
    </row>
    <row r="27" spans="2:18" x14ac:dyDescent="0.25">
      <c r="B27" s="477" t="s">
        <v>185</v>
      </c>
      <c r="C27" s="478" t="s">
        <v>307</v>
      </c>
      <c r="D27" s="237"/>
      <c r="E27" s="475"/>
      <c r="F27" s="237"/>
      <c r="G27" s="237"/>
      <c r="H27" s="237"/>
      <c r="I27" s="237"/>
      <c r="J27" s="237"/>
      <c r="K27" s="237"/>
      <c r="L27" s="315"/>
      <c r="N27" s="33"/>
      <c r="O27" s="33"/>
      <c r="P27" s="33"/>
    </row>
    <row r="28" spans="2:18" x14ac:dyDescent="0.25">
      <c r="B28" s="436">
        <v>11</v>
      </c>
      <c r="C28" s="115" t="s">
        <v>308</v>
      </c>
      <c r="D28" s="114"/>
      <c r="E28" s="470">
        <f>'F9'!N13</f>
        <v>419.30518293839998</v>
      </c>
      <c r="F28" s="474">
        <f>E28-D28</f>
        <v>419.30518293839998</v>
      </c>
      <c r="G28" s="474">
        <f>E28-D28</f>
        <v>419.30518293839998</v>
      </c>
      <c r="H28" s="114"/>
      <c r="I28" s="114"/>
      <c r="J28" s="114"/>
      <c r="K28" s="114"/>
      <c r="L28" s="315">
        <f>E28</f>
        <v>419.30518293839998</v>
      </c>
      <c r="N28" s="33"/>
      <c r="O28" s="33"/>
      <c r="P28" s="33"/>
    </row>
    <row r="29" spans="2:18" x14ac:dyDescent="0.25">
      <c r="B29" s="436">
        <f>B28+1</f>
        <v>12</v>
      </c>
      <c r="C29" s="115" t="s">
        <v>903</v>
      </c>
      <c r="D29" s="114"/>
      <c r="E29" s="114"/>
      <c r="F29" s="114"/>
      <c r="G29" s="335">
        <f>'AFC Reduction and AEC loss'!$O$46</f>
        <v>11.192261303431149</v>
      </c>
      <c r="H29" s="476">
        <f>IF(G29&lt;0,2/3,1/3)*G29</f>
        <v>3.7307537678103828</v>
      </c>
      <c r="I29" s="114"/>
      <c r="J29" s="114"/>
      <c r="K29" s="114"/>
      <c r="L29" s="315">
        <f>H29</f>
        <v>3.7307537678103828</v>
      </c>
      <c r="N29" s="33"/>
      <c r="O29" s="33"/>
      <c r="P29" s="33"/>
    </row>
    <row r="30" spans="2:18" x14ac:dyDescent="0.25">
      <c r="B30" s="436">
        <f>B29+1</f>
        <v>13</v>
      </c>
      <c r="C30" s="478" t="s">
        <v>904</v>
      </c>
      <c r="D30" s="114"/>
      <c r="E30" s="114"/>
      <c r="F30" s="114"/>
      <c r="G30" s="114"/>
      <c r="H30" s="114"/>
      <c r="I30" s="114"/>
      <c r="J30" s="114"/>
      <c r="K30" s="114"/>
      <c r="L30" s="358">
        <f>SUM(L28:L29)</f>
        <v>423.03593670621035</v>
      </c>
      <c r="M30" s="1364">
        <v>0</v>
      </c>
      <c r="N30" s="33"/>
      <c r="O30" s="33"/>
      <c r="P30" s="33"/>
    </row>
    <row r="31" spans="2:18" x14ac:dyDescent="0.25">
      <c r="B31" s="477" t="s">
        <v>186</v>
      </c>
      <c r="C31" s="478" t="s">
        <v>316</v>
      </c>
      <c r="D31" s="474"/>
      <c r="E31" s="474"/>
      <c r="F31" s="474"/>
      <c r="G31" s="474"/>
      <c r="H31" s="474"/>
      <c r="I31" s="237"/>
      <c r="J31" s="237"/>
      <c r="K31" s="237"/>
      <c r="L31" s="358">
        <f>L25-L30</f>
        <v>53.360068430909223</v>
      </c>
      <c r="M31" s="1364"/>
      <c r="N31" s="33"/>
      <c r="O31" s="33"/>
      <c r="P31" s="33"/>
      <c r="Q31" s="577"/>
      <c r="R31" s="577"/>
    </row>
    <row r="32" spans="2:18" x14ac:dyDescent="0.25">
      <c r="B32" s="239"/>
      <c r="C32" s="240"/>
      <c r="D32" s="213"/>
      <c r="E32" s="213"/>
      <c r="F32" s="213"/>
      <c r="G32" s="213"/>
      <c r="H32" s="213"/>
      <c r="I32" s="213"/>
      <c r="J32" s="213"/>
      <c r="K32" s="213"/>
      <c r="L32" s="1114">
        <v>2.2737367544323206E-13</v>
      </c>
      <c r="N32" s="33"/>
      <c r="O32" s="33"/>
      <c r="P32" s="33"/>
    </row>
    <row r="33" spans="2:16" x14ac:dyDescent="0.25">
      <c r="B33" s="246" t="s">
        <v>632</v>
      </c>
      <c r="N33" s="33"/>
      <c r="O33" s="33"/>
      <c r="P33" s="33"/>
    </row>
    <row r="34" spans="2:16" x14ac:dyDescent="0.25">
      <c r="B34" s="246"/>
      <c r="N34" s="33"/>
      <c r="O34" s="33"/>
      <c r="P34" s="33"/>
    </row>
    <row r="35" spans="2:16" x14ac:dyDescent="0.25">
      <c r="B35" s="77" t="s">
        <v>506</v>
      </c>
      <c r="O35" s="33"/>
      <c r="P35" s="33"/>
    </row>
    <row r="36" spans="2:16" x14ac:dyDescent="0.25">
      <c r="K36" s="21"/>
      <c r="L36" s="21" t="s">
        <v>10</v>
      </c>
      <c r="O36" s="33"/>
      <c r="P36" s="33"/>
    </row>
    <row r="37" spans="2:16" ht="42" x14ac:dyDescent="0.25">
      <c r="B37" s="178" t="s">
        <v>340</v>
      </c>
      <c r="C37" s="179" t="s">
        <v>38</v>
      </c>
      <c r="D37" s="131" t="s">
        <v>26</v>
      </c>
      <c r="E37" s="82" t="s">
        <v>7</v>
      </c>
      <c r="F37" s="82" t="s">
        <v>304</v>
      </c>
      <c r="G37" s="301" t="s">
        <v>774</v>
      </c>
      <c r="H37" s="301" t="s">
        <v>775</v>
      </c>
      <c r="I37" s="131" t="s">
        <v>408</v>
      </c>
      <c r="J37" s="82" t="s">
        <v>305</v>
      </c>
      <c r="K37" s="82" t="s">
        <v>306</v>
      </c>
      <c r="L37" s="218" t="s">
        <v>484</v>
      </c>
      <c r="O37" s="33"/>
      <c r="P37" s="33"/>
    </row>
    <row r="38" spans="2:16" x14ac:dyDescent="0.25">
      <c r="B38" s="114"/>
      <c r="C38" s="114"/>
      <c r="D38" s="114" t="s">
        <v>352</v>
      </c>
      <c r="E38" s="114" t="s">
        <v>353</v>
      </c>
      <c r="F38" s="114" t="s">
        <v>776</v>
      </c>
      <c r="G38" s="114" t="s">
        <v>777</v>
      </c>
      <c r="H38" s="114"/>
      <c r="I38" s="114"/>
      <c r="J38" s="114"/>
      <c r="K38" s="114"/>
      <c r="L38" s="114"/>
      <c r="O38" s="33"/>
      <c r="P38" s="33"/>
    </row>
    <row r="39" spans="2:16" s="22" customFormat="1" x14ac:dyDescent="0.25">
      <c r="B39" s="234">
        <v>1</v>
      </c>
      <c r="C39" s="114" t="s">
        <v>84</v>
      </c>
      <c r="D39" s="475">
        <f>'F1'!J11</f>
        <v>415.5170836234505</v>
      </c>
      <c r="E39" s="475">
        <f>'F1'!K11</f>
        <v>463.9270540705329</v>
      </c>
      <c r="F39" s="475">
        <f>E39-D39</f>
        <v>48.409970447082401</v>
      </c>
      <c r="G39" s="475">
        <f>E39-D39</f>
        <v>48.409970447082401</v>
      </c>
      <c r="H39" s="476">
        <f>IF(G39&lt;0,2/3,1/3)*G39</f>
        <v>16.136656815694131</v>
      </c>
      <c r="I39" s="237"/>
      <c r="J39" s="237"/>
      <c r="K39" s="237"/>
      <c r="L39" s="315">
        <f>D39+H39</f>
        <v>431.65374043914466</v>
      </c>
      <c r="M39" s="1363"/>
      <c r="O39" s="33"/>
      <c r="P39" s="33"/>
    </row>
    <row r="40" spans="2:16" s="311" customFormat="1" x14ac:dyDescent="0.25">
      <c r="B40" s="234">
        <v>2</v>
      </c>
      <c r="C40" s="114" t="s">
        <v>1053</v>
      </c>
      <c r="D40" s="470">
        <f>'F3'!J17-D41</f>
        <v>109.83180729706626</v>
      </c>
      <c r="E40" s="470">
        <f>'F3'!K17-E41</f>
        <v>172.7465874447887</v>
      </c>
      <c r="F40" s="475">
        <f>E40-D40</f>
        <v>62.914780147722439</v>
      </c>
      <c r="G40" s="475">
        <f>E40-D40</f>
        <v>62.914780147722439</v>
      </c>
      <c r="H40" s="476">
        <f>IF(G40&lt;0,2/3,1/3)*G40</f>
        <v>20.971593382574145</v>
      </c>
      <c r="I40" s="114"/>
      <c r="J40" s="114"/>
      <c r="K40" s="114"/>
      <c r="L40" s="315">
        <f>D40+H40</f>
        <v>130.80340067964042</v>
      </c>
      <c r="M40" s="581"/>
      <c r="N40" s="551"/>
      <c r="O40" s="33"/>
      <c r="P40" s="33"/>
    </row>
    <row r="41" spans="2:16" s="311" customFormat="1" x14ac:dyDescent="0.25">
      <c r="B41" s="234"/>
      <c r="C41" s="114" t="s">
        <v>1056</v>
      </c>
      <c r="D41" s="470">
        <f>'F3'!$J$14</f>
        <v>8.1858859193572346</v>
      </c>
      <c r="E41" s="470">
        <f>'F3'!$K$14</f>
        <v>8.1858859193572346</v>
      </c>
      <c r="F41" s="358">
        <f>E41-D41</f>
        <v>0</v>
      </c>
      <c r="G41" s="475">
        <f>E41-D41</f>
        <v>0</v>
      </c>
      <c r="H41" s="476">
        <f>IF(G41&lt;0,2/3,1/3)*G41</f>
        <v>0</v>
      </c>
      <c r="I41" s="114"/>
      <c r="J41" s="114"/>
      <c r="K41" s="114"/>
      <c r="L41" s="315">
        <f>D41+H41</f>
        <v>8.1858859193572346</v>
      </c>
      <c r="M41" s="581"/>
      <c r="O41" s="33"/>
      <c r="P41" s="33"/>
    </row>
    <row r="42" spans="2:16" s="311" customFormat="1" x14ac:dyDescent="0.25">
      <c r="B42" s="234"/>
      <c r="C42" s="114" t="s">
        <v>906</v>
      </c>
      <c r="D42" s="470">
        <f>E42</f>
        <v>16.338128639991467</v>
      </c>
      <c r="E42" s="470">
        <f>'F3.1'!G27</f>
        <v>16.338128639991467</v>
      </c>
      <c r="F42" s="475"/>
      <c r="G42" s="475"/>
      <c r="H42" s="470"/>
      <c r="I42" s="114"/>
      <c r="J42" s="114"/>
      <c r="K42" s="114"/>
      <c r="L42" s="315">
        <f>E42</f>
        <v>16.338128639991467</v>
      </c>
      <c r="M42" s="581"/>
      <c r="O42" s="33"/>
      <c r="P42" s="33"/>
    </row>
    <row r="43" spans="2:16" s="311" customFormat="1" x14ac:dyDescent="0.25">
      <c r="B43" s="234">
        <v>3</v>
      </c>
      <c r="C43" s="115" t="s">
        <v>86</v>
      </c>
      <c r="D43" s="335">
        <f>SUM('F1'!$J$15:$J$16)</f>
        <v>5.3341599065758398</v>
      </c>
      <c r="E43" s="335">
        <f>SUM('F1'!$K$15:$K$16)</f>
        <v>5.3341599065758398</v>
      </c>
      <c r="F43" s="475">
        <f>E43-D43</f>
        <v>0</v>
      </c>
      <c r="G43" s="475">
        <f>E43-D43</f>
        <v>0</v>
      </c>
      <c r="H43" s="470"/>
      <c r="I43" s="114"/>
      <c r="J43" s="114"/>
      <c r="K43" s="114"/>
      <c r="L43" s="315">
        <f>E43</f>
        <v>5.3341599065758398</v>
      </c>
      <c r="M43" s="581"/>
      <c r="O43" s="33"/>
      <c r="P43" s="33"/>
    </row>
    <row r="44" spans="2:16" s="311" customFormat="1" x14ac:dyDescent="0.25">
      <c r="B44" s="234">
        <v>4</v>
      </c>
      <c r="C44" s="114" t="s">
        <v>87</v>
      </c>
      <c r="D44" s="470">
        <f>'F1'!J17</f>
        <v>0.41308157912996457</v>
      </c>
      <c r="E44" s="470">
        <f>SUM('F1'!K17:K18)</f>
        <v>0.41308157912996457</v>
      </c>
      <c r="F44" s="548">
        <f>E44-D44</f>
        <v>0</v>
      </c>
      <c r="G44" s="475">
        <f>E44-D44</f>
        <v>0</v>
      </c>
      <c r="H44" s="470"/>
      <c r="I44" s="114"/>
      <c r="J44" s="114"/>
      <c r="K44" s="114"/>
      <c r="L44" s="315">
        <f>E44</f>
        <v>0.41308157912996457</v>
      </c>
      <c r="M44" s="581"/>
      <c r="O44" s="33"/>
      <c r="P44" s="33"/>
    </row>
    <row r="45" spans="2:16" s="311" customFormat="1" x14ac:dyDescent="0.25">
      <c r="B45" s="234">
        <v>5</v>
      </c>
      <c r="C45" s="115" t="s">
        <v>88</v>
      </c>
      <c r="D45" s="470">
        <f>'F1'!J19</f>
        <v>20.059775541777761</v>
      </c>
      <c r="E45" s="470">
        <f>SUM('F1'!K19:K20)</f>
        <v>36.403717293309533</v>
      </c>
      <c r="F45" s="475">
        <f>E45-D45</f>
        <v>16.343941751531773</v>
      </c>
      <c r="G45" s="475">
        <f>E45-D45</f>
        <v>16.343941751531773</v>
      </c>
      <c r="H45" s="476">
        <f>IF(G45&lt;0,2/3,1/3)*G45</f>
        <v>5.4479805838439237</v>
      </c>
      <c r="I45" s="114"/>
      <c r="J45" s="114"/>
      <c r="K45" s="114"/>
      <c r="L45" s="315">
        <f>D45+H45</f>
        <v>25.507756125621682</v>
      </c>
      <c r="M45" s="581"/>
      <c r="O45" s="33"/>
      <c r="P45" s="33"/>
    </row>
    <row r="46" spans="2:16" s="311" customFormat="1" x14ac:dyDescent="0.25">
      <c r="B46" s="234">
        <v>6</v>
      </c>
      <c r="C46" s="115" t="s">
        <v>89</v>
      </c>
      <c r="D46" s="470">
        <f>'F1'!J21</f>
        <v>7.4085439078775819</v>
      </c>
      <c r="E46" s="470">
        <f>'F1'!K21</f>
        <v>7.4085439078775819</v>
      </c>
      <c r="F46" s="475">
        <f>E46-D46</f>
        <v>0</v>
      </c>
      <c r="G46" s="475">
        <f>E46-D46</f>
        <v>0</v>
      </c>
      <c r="H46" s="470"/>
      <c r="I46" s="114"/>
      <c r="J46" s="114"/>
      <c r="K46" s="114"/>
      <c r="L46" s="315">
        <f>E46</f>
        <v>7.4085439078775819</v>
      </c>
      <c r="M46" s="581"/>
      <c r="O46" s="33"/>
      <c r="P46" s="33"/>
    </row>
    <row r="47" spans="2:16" s="311" customFormat="1" x14ac:dyDescent="0.25">
      <c r="B47" s="234">
        <v>7</v>
      </c>
      <c r="C47" s="114" t="s">
        <v>90</v>
      </c>
      <c r="D47" s="470">
        <f>'F1'!J22</f>
        <v>0</v>
      </c>
      <c r="E47" s="470">
        <f>'F1'!K22</f>
        <v>0</v>
      </c>
      <c r="F47" s="475">
        <f>E47-D47</f>
        <v>0</v>
      </c>
      <c r="G47" s="475">
        <f>E47-D47</f>
        <v>0</v>
      </c>
      <c r="H47" s="470"/>
      <c r="I47" s="114"/>
      <c r="J47" s="114"/>
      <c r="K47" s="114"/>
      <c r="L47" s="315">
        <f>E47</f>
        <v>0</v>
      </c>
      <c r="M47" s="581"/>
      <c r="O47" s="33"/>
      <c r="P47" s="33"/>
    </row>
    <row r="48" spans="2:16" s="311" customFormat="1" x14ac:dyDescent="0.25">
      <c r="B48" s="234"/>
      <c r="C48" s="114"/>
      <c r="D48" s="470"/>
      <c r="E48" s="470"/>
      <c r="F48" s="470"/>
      <c r="G48" s="470"/>
      <c r="H48" s="470"/>
      <c r="I48" s="114"/>
      <c r="J48" s="114"/>
      <c r="K48" s="114"/>
      <c r="L48" s="315"/>
      <c r="M48" s="581"/>
      <c r="O48" s="33"/>
      <c r="P48" s="33"/>
    </row>
    <row r="49" spans="2:16" s="311" customFormat="1" x14ac:dyDescent="0.25">
      <c r="B49" s="310">
        <v>8</v>
      </c>
      <c r="C49" s="237" t="s">
        <v>91</v>
      </c>
      <c r="D49" s="470">
        <f>SUM(D39:D47)</f>
        <v>583.08846641522666</v>
      </c>
      <c r="E49" s="470">
        <f>SUM(E39:E47)</f>
        <v>710.75715876156335</v>
      </c>
      <c r="F49" s="470">
        <f>SUM(F39:F47)</f>
        <v>127.66869234633661</v>
      </c>
      <c r="G49" s="475">
        <f>E49-D49</f>
        <v>127.66869234633668</v>
      </c>
      <c r="H49" s="470"/>
      <c r="I49" s="114"/>
      <c r="J49" s="114"/>
      <c r="K49" s="114"/>
      <c r="L49" s="358">
        <f>SUM(L39:L48)</f>
        <v>625.64469719733893</v>
      </c>
      <c r="M49" s="1364"/>
      <c r="O49" s="33"/>
      <c r="P49" s="33"/>
    </row>
    <row r="50" spans="2:16" s="554" customFormat="1" x14ac:dyDescent="0.25">
      <c r="B50" s="234">
        <v>9</v>
      </c>
      <c r="C50" s="114" t="s">
        <v>92</v>
      </c>
      <c r="D50" s="475">
        <f>SUM('F1'!J24:J25)</f>
        <v>13.417254897422685</v>
      </c>
      <c r="E50" s="475">
        <f>SUM('F1'!K24:K25)</f>
        <v>13.417254897422685</v>
      </c>
      <c r="F50" s="475">
        <f>E50-D50</f>
        <v>0</v>
      </c>
      <c r="G50" s="475">
        <f>E50-D50</f>
        <v>0</v>
      </c>
      <c r="H50" s="475"/>
      <c r="I50" s="237"/>
      <c r="J50" s="237"/>
      <c r="K50" s="237"/>
      <c r="L50" s="315">
        <f>E50</f>
        <v>13.417254897422685</v>
      </c>
      <c r="M50" s="323"/>
      <c r="O50" s="33"/>
      <c r="P50" s="33"/>
    </row>
    <row r="51" spans="2:16" s="311" customFormat="1" x14ac:dyDescent="0.25">
      <c r="B51" s="234">
        <v>10</v>
      </c>
      <c r="C51" s="114" t="s">
        <v>93</v>
      </c>
      <c r="D51" s="475">
        <f>'F1'!J26</f>
        <v>0.82531521677347774</v>
      </c>
      <c r="E51" s="475">
        <f>'F1'!K26</f>
        <v>0.82531521677347774</v>
      </c>
      <c r="F51" s="475">
        <f>E51-D51</f>
        <v>0</v>
      </c>
      <c r="G51" s="475">
        <f>E51-D51</f>
        <v>0</v>
      </c>
      <c r="H51" s="470"/>
      <c r="I51" s="114"/>
      <c r="J51" s="114"/>
      <c r="K51" s="114"/>
      <c r="L51" s="315">
        <f>E51</f>
        <v>0.82531521677347774</v>
      </c>
      <c r="M51" s="323"/>
      <c r="O51" s="33"/>
      <c r="P51" s="33"/>
    </row>
    <row r="52" spans="2:16" s="554" customFormat="1" x14ac:dyDescent="0.25">
      <c r="B52" s="310">
        <v>11</v>
      </c>
      <c r="C52" s="237" t="s">
        <v>94</v>
      </c>
      <c r="D52" s="475">
        <f>D49+D50-D51</f>
        <v>595.68040609587592</v>
      </c>
      <c r="E52" s="475">
        <f>E49+E50-E51</f>
        <v>723.34909844221261</v>
      </c>
      <c r="F52" s="475">
        <f>F49+F50-F51</f>
        <v>127.66869234633661</v>
      </c>
      <c r="G52" s="475">
        <f>E52-D52</f>
        <v>127.66869234633668</v>
      </c>
      <c r="H52" s="475"/>
      <c r="I52" s="237"/>
      <c r="J52" s="237"/>
      <c r="K52" s="237"/>
      <c r="L52" s="358">
        <f>L49+L50-L51</f>
        <v>638.23663687798819</v>
      </c>
      <c r="M52" s="1364">
        <v>0</v>
      </c>
      <c r="O52" s="33"/>
      <c r="P52" s="33"/>
    </row>
    <row r="53" spans="2:16" s="554" customFormat="1" ht="15.5" x14ac:dyDescent="0.25">
      <c r="B53" s="234">
        <v>12</v>
      </c>
      <c r="C53" s="765" t="s">
        <v>920</v>
      </c>
      <c r="D53" s="470">
        <v>0.50177693719160743</v>
      </c>
      <c r="E53" s="475">
        <f>'AFC Reduction and AEC loss'!$E$8</f>
        <v>36.776298637473928</v>
      </c>
      <c r="F53" s="475"/>
      <c r="G53" s="475"/>
      <c r="H53" s="475"/>
      <c r="I53" s="237"/>
      <c r="J53" s="237"/>
      <c r="K53" s="237"/>
      <c r="L53" s="358">
        <f>E53</f>
        <v>36.776298637473928</v>
      </c>
      <c r="M53" s="323"/>
      <c r="O53" s="33"/>
      <c r="P53" s="33"/>
    </row>
    <row r="54" spans="2:16" s="554" customFormat="1" ht="15" x14ac:dyDescent="0.25">
      <c r="B54" s="310" t="s">
        <v>173</v>
      </c>
      <c r="C54" s="766" t="s">
        <v>1149</v>
      </c>
      <c r="D54" s="475"/>
      <c r="E54" s="475"/>
      <c r="F54" s="475"/>
      <c r="G54" s="475"/>
      <c r="H54" s="475"/>
      <c r="I54" s="237"/>
      <c r="J54" s="237"/>
      <c r="K54" s="237"/>
      <c r="L54" s="358">
        <f>L52-L53</f>
        <v>601.46033824051426</v>
      </c>
      <c r="M54" s="323"/>
      <c r="O54" s="33"/>
      <c r="P54" s="33"/>
    </row>
    <row r="55" spans="2:16" s="554" customFormat="1" x14ac:dyDescent="0.25">
      <c r="B55" s="477"/>
      <c r="C55" s="478"/>
      <c r="D55" s="475"/>
      <c r="E55" s="475"/>
      <c r="F55" s="475"/>
      <c r="G55" s="475"/>
      <c r="H55" s="475"/>
      <c r="I55" s="237"/>
      <c r="J55" s="237"/>
      <c r="K55" s="237"/>
      <c r="L55" s="315"/>
      <c r="M55" s="323"/>
      <c r="O55" s="33"/>
      <c r="P55" s="33"/>
    </row>
    <row r="56" spans="2:16" s="554" customFormat="1" x14ac:dyDescent="0.25">
      <c r="B56" s="477" t="s">
        <v>185</v>
      </c>
      <c r="C56" s="478" t="s">
        <v>307</v>
      </c>
      <c r="D56" s="475"/>
      <c r="E56" s="475"/>
      <c r="F56" s="475"/>
      <c r="G56" s="475"/>
      <c r="H56" s="475"/>
      <c r="I56" s="237"/>
      <c r="J56" s="237"/>
      <c r="K56" s="237"/>
      <c r="L56" s="315"/>
      <c r="M56" s="323"/>
      <c r="O56" s="33"/>
      <c r="P56" s="33"/>
    </row>
    <row r="57" spans="2:16" s="311" customFormat="1" x14ac:dyDescent="0.25">
      <c r="B57" s="436">
        <v>11</v>
      </c>
      <c r="C57" s="115" t="s">
        <v>308</v>
      </c>
      <c r="D57" s="470"/>
      <c r="E57" s="470">
        <f>'F9'!N20</f>
        <v>550.31456999910006</v>
      </c>
      <c r="F57" s="475">
        <f>E57-D57</f>
        <v>550.31456999910006</v>
      </c>
      <c r="G57" s="474">
        <f>E57-D57</f>
        <v>550.31456999910006</v>
      </c>
      <c r="H57" s="470"/>
      <c r="I57" s="114"/>
      <c r="J57" s="114"/>
      <c r="K57" s="114"/>
      <c r="L57" s="315">
        <f>E57</f>
        <v>550.31456999910006</v>
      </c>
      <c r="M57" s="323"/>
      <c r="O57" s="33"/>
      <c r="P57" s="33"/>
    </row>
    <row r="58" spans="2:16" s="311" customFormat="1" x14ac:dyDescent="0.25">
      <c r="B58" s="436">
        <f>B57+1</f>
        <v>12</v>
      </c>
      <c r="C58" s="115" t="s">
        <v>903</v>
      </c>
      <c r="D58" s="470"/>
      <c r="E58" s="470"/>
      <c r="F58" s="470"/>
      <c r="G58" s="335">
        <f>'AFC Reduction and AEC loss'!$O$47</f>
        <v>11.511028481823248</v>
      </c>
      <c r="H58" s="476">
        <f>IF(G58&lt;0,2/3,1/3)*G58</f>
        <v>3.8370094939410824</v>
      </c>
      <c r="I58" s="114"/>
      <c r="J58" s="114"/>
      <c r="K58" s="114"/>
      <c r="L58" s="315">
        <f>H58</f>
        <v>3.8370094939410824</v>
      </c>
      <c r="M58" s="323"/>
      <c r="O58" s="33"/>
      <c r="P58" s="33"/>
    </row>
    <row r="59" spans="2:16" x14ac:dyDescent="0.25">
      <c r="B59" s="436">
        <f>B58+1</f>
        <v>13</v>
      </c>
      <c r="C59" s="478" t="s">
        <v>904</v>
      </c>
      <c r="D59" s="114"/>
      <c r="E59" s="114"/>
      <c r="F59" s="114"/>
      <c r="G59" s="114"/>
      <c r="H59" s="114"/>
      <c r="I59" s="114"/>
      <c r="J59" s="114"/>
      <c r="K59" s="114"/>
      <c r="L59" s="358">
        <f>SUM(L57:L58)</f>
        <v>554.15157949304114</v>
      </c>
      <c r="M59" s="1364">
        <v>0</v>
      </c>
      <c r="O59" s="33"/>
      <c r="P59" s="33"/>
    </row>
    <row r="60" spans="2:16" s="22" customFormat="1" x14ac:dyDescent="0.25">
      <c r="B60" s="113" t="s">
        <v>186</v>
      </c>
      <c r="C60" s="99" t="s">
        <v>316</v>
      </c>
      <c r="D60" s="309"/>
      <c r="E60" s="309"/>
      <c r="F60" s="309"/>
      <c r="G60" s="27"/>
      <c r="H60" s="309"/>
      <c r="I60" s="27"/>
      <c r="J60" s="27"/>
      <c r="K60" s="27"/>
      <c r="L60" s="1071">
        <f>L54-L59</f>
        <v>47.308758747473121</v>
      </c>
      <c r="M60" s="1364">
        <v>0</v>
      </c>
      <c r="O60" s="33"/>
      <c r="P60" s="33"/>
    </row>
    <row r="61" spans="2:16" s="22" customFormat="1" x14ac:dyDescent="0.25">
      <c r="B61" s="239"/>
      <c r="C61" s="240"/>
      <c r="D61" s="213"/>
      <c r="E61" s="213"/>
      <c r="F61" s="213"/>
      <c r="G61" s="213"/>
      <c r="H61" s="213"/>
      <c r="I61" s="213"/>
      <c r="J61" s="213"/>
      <c r="K61" s="213"/>
      <c r="L61" s="318">
        <v>0</v>
      </c>
      <c r="M61" s="1363"/>
      <c r="O61" s="33"/>
      <c r="P61" s="33"/>
    </row>
    <row r="62" spans="2:16" s="22" customFormat="1" x14ac:dyDescent="0.25">
      <c r="B62" s="246" t="s">
        <v>632</v>
      </c>
      <c r="C62" s="240"/>
      <c r="D62" s="213"/>
      <c r="E62" s="213"/>
      <c r="F62" s="213"/>
      <c r="G62" s="213"/>
      <c r="H62" s="213"/>
      <c r="I62" s="213"/>
      <c r="J62" s="213"/>
      <c r="K62" s="213"/>
      <c r="L62" s="209"/>
      <c r="M62" s="1363"/>
      <c r="O62" s="33"/>
      <c r="P62" s="33"/>
    </row>
    <row r="63" spans="2:16" s="22" customFormat="1" x14ac:dyDescent="0.25">
      <c r="B63" s="246"/>
      <c r="C63" s="240"/>
      <c r="D63" s="213"/>
      <c r="E63" s="213"/>
      <c r="F63" s="213"/>
      <c r="G63" s="213"/>
      <c r="H63" s="213"/>
      <c r="I63" s="213"/>
      <c r="J63" s="213"/>
      <c r="K63" s="213"/>
      <c r="L63" s="209"/>
      <c r="M63" s="1363"/>
      <c r="O63" s="33"/>
      <c r="P63" s="33"/>
    </row>
    <row r="64" spans="2:16" x14ac:dyDescent="0.25">
      <c r="B64" s="77"/>
      <c r="C64" s="59"/>
      <c r="D64" s="59"/>
      <c r="E64" s="59"/>
      <c r="F64" s="59"/>
      <c r="G64" s="59"/>
      <c r="H64" s="59"/>
      <c r="I64" s="59"/>
      <c r="J64" s="59"/>
      <c r="K64" s="59"/>
      <c r="L64" s="59"/>
      <c r="O64" s="33"/>
      <c r="P64" s="33"/>
    </row>
    <row r="65" spans="2:16" x14ac:dyDescent="0.25">
      <c r="B65" s="59"/>
      <c r="C65" s="59"/>
      <c r="D65" s="59"/>
      <c r="E65" s="59"/>
      <c r="F65" s="59"/>
      <c r="G65" s="59"/>
      <c r="H65" s="59"/>
      <c r="I65" s="59"/>
      <c r="J65" s="59"/>
      <c r="K65" s="669"/>
      <c r="L65" s="669"/>
      <c r="O65" s="33"/>
      <c r="P65" s="33"/>
    </row>
    <row r="66" spans="2:16" x14ac:dyDescent="0.25">
      <c r="B66" s="52"/>
      <c r="C66" s="670"/>
      <c r="D66" s="642"/>
      <c r="E66" s="642"/>
      <c r="F66" s="642"/>
      <c r="G66" s="642"/>
      <c r="H66" s="642"/>
      <c r="I66" s="642"/>
      <c r="J66" s="642"/>
      <c r="K66" s="642"/>
      <c r="L66" s="642"/>
      <c r="O66" s="33"/>
      <c r="P66" s="33"/>
    </row>
    <row r="67" spans="2:16" x14ac:dyDescent="0.25">
      <c r="B67" s="59"/>
      <c r="C67" s="59"/>
      <c r="D67" s="59"/>
      <c r="E67" s="59"/>
      <c r="F67" s="59"/>
      <c r="G67" s="59"/>
      <c r="H67" s="59"/>
      <c r="I67" s="59"/>
      <c r="J67" s="59"/>
      <c r="K67" s="59"/>
      <c r="L67" s="59"/>
      <c r="O67" s="33"/>
      <c r="P67" s="33"/>
    </row>
    <row r="68" spans="2:16" s="22" customFormat="1" x14ac:dyDescent="0.25">
      <c r="B68" s="657"/>
      <c r="C68" s="59"/>
      <c r="D68" s="658"/>
      <c r="E68" s="658"/>
      <c r="F68" s="658"/>
      <c r="G68" s="658"/>
      <c r="H68" s="659"/>
      <c r="I68" s="660"/>
      <c r="J68" s="660"/>
      <c r="K68" s="660"/>
      <c r="L68" s="321"/>
      <c r="M68" s="1363"/>
      <c r="O68" s="33"/>
      <c r="P68" s="33"/>
    </row>
    <row r="69" spans="2:16" s="311" customFormat="1" x14ac:dyDescent="0.25">
      <c r="B69" s="657"/>
      <c r="C69" s="59"/>
      <c r="D69" s="661"/>
      <c r="E69" s="661"/>
      <c r="F69" s="661"/>
      <c r="G69" s="661"/>
      <c r="H69" s="659"/>
      <c r="I69" s="59"/>
      <c r="J69" s="59"/>
      <c r="K69" s="59"/>
      <c r="L69" s="321"/>
      <c r="M69" s="581">
        <f>SUM(L69:L70)-P80</f>
        <v>0</v>
      </c>
      <c r="O69" s="33"/>
      <c r="P69" s="33"/>
    </row>
    <row r="70" spans="2:16" s="311" customFormat="1" x14ac:dyDescent="0.25">
      <c r="B70" s="657"/>
      <c r="C70" s="59"/>
      <c r="D70" s="661"/>
      <c r="E70" s="661"/>
      <c r="F70" s="661"/>
      <c r="G70" s="661"/>
      <c r="H70" s="659"/>
      <c r="I70" s="59"/>
      <c r="J70" s="59"/>
      <c r="K70" s="59"/>
      <c r="L70" s="321"/>
      <c r="M70" s="581"/>
      <c r="O70" s="33"/>
      <c r="P70" s="33"/>
    </row>
    <row r="71" spans="2:16" x14ac:dyDescent="0.25">
      <c r="B71" s="657"/>
      <c r="C71" s="59"/>
      <c r="D71" s="661"/>
      <c r="E71" s="661"/>
      <c r="F71" s="661"/>
      <c r="G71" s="661"/>
      <c r="H71" s="659"/>
      <c r="I71" s="59"/>
      <c r="J71" s="59"/>
      <c r="K71" s="59"/>
      <c r="L71" s="321"/>
      <c r="O71" s="33"/>
      <c r="P71" s="33"/>
    </row>
    <row r="72" spans="2:16" x14ac:dyDescent="0.25">
      <c r="B72" s="657"/>
      <c r="C72" s="662"/>
      <c r="D72" s="658"/>
      <c r="E72" s="661"/>
      <c r="F72" s="661"/>
      <c r="G72" s="661"/>
      <c r="H72" s="59"/>
      <c r="I72" s="59"/>
      <c r="J72" s="59"/>
      <c r="K72" s="59"/>
      <c r="L72" s="321"/>
      <c r="O72" s="33"/>
      <c r="P72" s="33"/>
    </row>
    <row r="73" spans="2:16" x14ac:dyDescent="0.25">
      <c r="B73" s="657"/>
      <c r="C73" s="59"/>
      <c r="D73" s="658"/>
      <c r="E73" s="661"/>
      <c r="F73" s="661"/>
      <c r="G73" s="661"/>
      <c r="H73" s="59"/>
      <c r="I73" s="59"/>
      <c r="J73" s="59"/>
      <c r="K73" s="59"/>
      <c r="L73" s="321"/>
      <c r="O73" s="33"/>
      <c r="P73" s="33"/>
    </row>
    <row r="74" spans="2:16" x14ac:dyDescent="0.25">
      <c r="B74" s="657"/>
      <c r="C74" s="662"/>
      <c r="D74" s="658"/>
      <c r="E74" s="661"/>
      <c r="F74" s="661"/>
      <c r="G74" s="661"/>
      <c r="H74" s="659"/>
      <c r="I74" s="59"/>
      <c r="J74" s="59"/>
      <c r="K74" s="59"/>
      <c r="L74" s="321"/>
      <c r="O74" s="33"/>
      <c r="P74" s="33"/>
    </row>
    <row r="75" spans="2:16" x14ac:dyDescent="0.25">
      <c r="B75" s="657"/>
      <c r="C75" s="662"/>
      <c r="D75" s="658"/>
      <c r="E75" s="661"/>
      <c r="F75" s="661"/>
      <c r="G75" s="661"/>
      <c r="H75" s="661"/>
      <c r="I75" s="59"/>
      <c r="J75" s="59"/>
      <c r="K75" s="59"/>
      <c r="L75" s="321"/>
      <c r="O75" s="33"/>
      <c r="P75" s="33"/>
    </row>
    <row r="76" spans="2:16" x14ac:dyDescent="0.25">
      <c r="B76" s="657"/>
      <c r="C76" s="59"/>
      <c r="D76" s="658"/>
      <c r="E76" s="661"/>
      <c r="F76" s="661"/>
      <c r="G76" s="661"/>
      <c r="H76" s="661"/>
      <c r="I76" s="59"/>
      <c r="J76" s="59"/>
      <c r="K76" s="59"/>
      <c r="L76" s="321"/>
      <c r="O76" s="33"/>
      <c r="P76" s="33"/>
    </row>
    <row r="77" spans="2:16" x14ac:dyDescent="0.25">
      <c r="B77" s="657"/>
      <c r="C77" s="59"/>
      <c r="D77" s="661"/>
      <c r="E77" s="661"/>
      <c r="F77" s="661"/>
      <c r="G77" s="661"/>
      <c r="H77" s="661"/>
      <c r="I77" s="59"/>
      <c r="J77" s="59"/>
      <c r="K77" s="59"/>
      <c r="L77" s="321"/>
      <c r="O77" s="33"/>
      <c r="P77" s="33"/>
    </row>
    <row r="78" spans="2:16" x14ac:dyDescent="0.25">
      <c r="B78" s="644"/>
      <c r="C78" s="660"/>
      <c r="D78" s="661"/>
      <c r="E78" s="661"/>
      <c r="F78" s="661"/>
      <c r="G78" s="661"/>
      <c r="H78" s="661"/>
      <c r="I78" s="59"/>
      <c r="J78" s="59"/>
      <c r="K78" s="59"/>
      <c r="L78" s="663"/>
      <c r="O78" s="33"/>
      <c r="P78" s="33"/>
    </row>
    <row r="79" spans="2:16" s="22" customFormat="1" x14ac:dyDescent="0.25">
      <c r="B79" s="657"/>
      <c r="C79" s="59"/>
      <c r="D79" s="658"/>
      <c r="E79" s="658"/>
      <c r="F79" s="658"/>
      <c r="G79" s="658"/>
      <c r="H79" s="658"/>
      <c r="I79" s="660"/>
      <c r="J79" s="660"/>
      <c r="K79" s="660"/>
      <c r="L79" s="321"/>
      <c r="M79" s="1363"/>
      <c r="O79" s="33"/>
      <c r="P79" s="33"/>
    </row>
    <row r="80" spans="2:16" x14ac:dyDescent="0.25">
      <c r="B80" s="657"/>
      <c r="C80" s="59"/>
      <c r="D80" s="658"/>
      <c r="E80" s="658"/>
      <c r="F80" s="661"/>
      <c r="G80" s="661"/>
      <c r="H80" s="661"/>
      <c r="I80" s="59"/>
      <c r="J80" s="59"/>
      <c r="K80" s="59"/>
      <c r="L80" s="321"/>
      <c r="O80" s="33"/>
      <c r="P80" s="33"/>
    </row>
    <row r="81" spans="2:16" s="22" customFormat="1" x14ac:dyDescent="0.25">
      <c r="B81" s="644"/>
      <c r="C81" s="660"/>
      <c r="D81" s="658"/>
      <c r="E81" s="658"/>
      <c r="F81" s="658"/>
      <c r="G81" s="658"/>
      <c r="H81" s="658"/>
      <c r="I81" s="660"/>
      <c r="J81" s="660"/>
      <c r="K81" s="660"/>
      <c r="L81" s="663"/>
      <c r="M81" s="1363"/>
      <c r="O81" s="33"/>
      <c r="P81" s="33"/>
    </row>
    <row r="82" spans="2:16" s="22" customFormat="1" x14ac:dyDescent="0.25">
      <c r="B82" s="664"/>
      <c r="C82" s="665"/>
      <c r="D82" s="658"/>
      <c r="E82" s="658"/>
      <c r="F82" s="658"/>
      <c r="G82" s="658"/>
      <c r="H82" s="658"/>
      <c r="I82" s="660"/>
      <c r="J82" s="660"/>
      <c r="K82" s="660"/>
      <c r="L82" s="321"/>
      <c r="M82" s="1363"/>
      <c r="O82" s="33"/>
      <c r="P82" s="33"/>
    </row>
    <row r="83" spans="2:16" s="22" customFormat="1" x14ac:dyDescent="0.25">
      <c r="B83" s="664"/>
      <c r="C83" s="665"/>
      <c r="D83" s="658"/>
      <c r="E83" s="658"/>
      <c r="F83" s="658"/>
      <c r="G83" s="658"/>
      <c r="H83" s="658"/>
      <c r="I83" s="660"/>
      <c r="J83" s="660"/>
      <c r="K83" s="660"/>
      <c r="L83" s="321"/>
      <c r="M83" s="1363"/>
    </row>
    <row r="84" spans="2:16" x14ac:dyDescent="0.25">
      <c r="B84" s="666"/>
      <c r="C84" s="662"/>
      <c r="D84" s="661"/>
      <c r="E84" s="661"/>
      <c r="F84" s="661"/>
      <c r="G84" s="661"/>
      <c r="H84" s="661"/>
      <c r="I84" s="59"/>
      <c r="J84" s="59"/>
      <c r="K84" s="59"/>
      <c r="L84" s="321"/>
      <c r="M84" s="1363"/>
      <c r="O84" s="22"/>
      <c r="P84" s="22"/>
    </row>
    <row r="85" spans="2:16" x14ac:dyDescent="0.25">
      <c r="B85" s="666"/>
      <c r="C85" s="662"/>
      <c r="D85" s="661"/>
      <c r="E85" s="661"/>
      <c r="F85" s="661"/>
      <c r="G85" s="667"/>
      <c r="H85" s="659"/>
      <c r="I85" s="59"/>
      <c r="J85" s="59"/>
      <c r="K85" s="59"/>
      <c r="L85" s="321"/>
      <c r="M85" s="1363"/>
      <c r="O85" s="22"/>
      <c r="P85" s="22"/>
    </row>
    <row r="86" spans="2:16" x14ac:dyDescent="0.25">
      <c r="B86" s="666"/>
      <c r="C86" s="665"/>
      <c r="D86" s="661"/>
      <c r="E86" s="661"/>
      <c r="F86" s="661"/>
      <c r="G86" s="661"/>
      <c r="H86" s="661"/>
      <c r="I86" s="59"/>
      <c r="J86" s="59"/>
      <c r="K86" s="59"/>
      <c r="L86" s="663"/>
      <c r="M86" s="1363"/>
    </row>
    <row r="87" spans="2:16" s="22" customFormat="1" x14ac:dyDescent="0.25">
      <c r="B87" s="664"/>
      <c r="C87" s="665"/>
      <c r="D87" s="668"/>
      <c r="E87" s="668"/>
      <c r="F87" s="668"/>
      <c r="G87" s="668"/>
      <c r="H87" s="668"/>
      <c r="I87" s="660"/>
      <c r="J87" s="660"/>
      <c r="K87" s="660"/>
      <c r="L87" s="663"/>
      <c r="M87" s="1363"/>
      <c r="O87" s="14"/>
      <c r="P87" s="14"/>
    </row>
    <row r="88" spans="2:16" x14ac:dyDescent="0.25">
      <c r="B88" s="59"/>
      <c r="C88" s="59"/>
      <c r="D88" s="59"/>
      <c r="E88" s="59"/>
      <c r="F88" s="59"/>
      <c r="G88" s="59"/>
      <c r="H88" s="59"/>
      <c r="I88" s="59"/>
      <c r="J88" s="59"/>
      <c r="K88" s="59"/>
      <c r="L88" s="59"/>
    </row>
    <row r="89" spans="2:16" x14ac:dyDescent="0.25">
      <c r="B89" s="671"/>
      <c r="C89" s="59"/>
      <c r="D89" s="672"/>
      <c r="E89" s="672"/>
      <c r="F89" s="672"/>
      <c r="G89" s="672"/>
      <c r="H89" s="672"/>
      <c r="I89" s="672"/>
      <c r="J89" s="672"/>
      <c r="K89" s="672"/>
      <c r="L89" s="59"/>
      <c r="O89" s="22"/>
      <c r="P89" s="22"/>
    </row>
  </sheetData>
  <mergeCells count="3">
    <mergeCell ref="B2:L2"/>
    <mergeCell ref="B3:L3"/>
    <mergeCell ref="B4:L4"/>
  </mergeCells>
  <pageMargins left="1.1200000000000001" right="0.27" top="1.24" bottom="1" header="0.5" footer="0.5"/>
  <pageSetup paperSize="9" scale="4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L29"/>
  <sheetViews>
    <sheetView showGridLines="0" view="pageBreakPreview" zoomScale="80" zoomScaleSheetLayoutView="80" workbookViewId="0">
      <selection activeCell="E2" sqref="E2"/>
    </sheetView>
  </sheetViews>
  <sheetFormatPr defaultColWidth="9.08984375" defaultRowHeight="14" x14ac:dyDescent="0.3"/>
  <cols>
    <col min="1" max="1" width="9.08984375" style="811"/>
    <col min="2" max="2" width="21.6328125" style="811" customWidth="1"/>
    <col min="3" max="3" width="23" style="811" customWidth="1"/>
    <col min="4" max="4" width="19.453125" style="811" customWidth="1"/>
    <col min="5" max="5" width="21.6328125" style="811" customWidth="1"/>
    <col min="6" max="6" width="38" style="811" customWidth="1"/>
    <col min="7" max="7" width="24.453125" style="811" customWidth="1"/>
    <col min="8" max="8" width="10.6328125" style="811" bestFit="1" customWidth="1"/>
    <col min="9" max="257" width="9.08984375" style="811"/>
    <col min="258" max="258" width="21.6328125" style="811" customWidth="1"/>
    <col min="259" max="259" width="27.90625" style="811" customWidth="1"/>
    <col min="260" max="260" width="33.90625" style="811" customWidth="1"/>
    <col min="261" max="261" width="60" style="811" customWidth="1"/>
    <col min="262" max="262" width="164.08984375" style="811" customWidth="1"/>
    <col min="263" max="263" width="24.453125" style="811" customWidth="1"/>
    <col min="264" max="264" width="10.6328125" style="811" bestFit="1" customWidth="1"/>
    <col min="265" max="513" width="9.08984375" style="811"/>
    <col min="514" max="514" width="21.6328125" style="811" customWidth="1"/>
    <col min="515" max="515" width="27.90625" style="811" customWidth="1"/>
    <col min="516" max="516" width="33.90625" style="811" customWidth="1"/>
    <col min="517" max="517" width="60" style="811" customWidth="1"/>
    <col min="518" max="518" width="164.08984375" style="811" customWidth="1"/>
    <col min="519" max="519" width="24.453125" style="811" customWidth="1"/>
    <col min="520" max="520" width="10.6328125" style="811" bestFit="1" customWidth="1"/>
    <col min="521" max="769" width="9.08984375" style="811"/>
    <col min="770" max="770" width="21.6328125" style="811" customWidth="1"/>
    <col min="771" max="771" width="27.90625" style="811" customWidth="1"/>
    <col min="772" max="772" width="33.90625" style="811" customWidth="1"/>
    <col min="773" max="773" width="60" style="811" customWidth="1"/>
    <col min="774" max="774" width="164.08984375" style="811" customWidth="1"/>
    <col min="775" max="775" width="24.453125" style="811" customWidth="1"/>
    <col min="776" max="776" width="10.6328125" style="811" bestFit="1" customWidth="1"/>
    <col min="777" max="1025" width="9.08984375" style="811"/>
    <col min="1026" max="1026" width="21.6328125" style="811" customWidth="1"/>
    <col min="1027" max="1027" width="27.90625" style="811" customWidth="1"/>
    <col min="1028" max="1028" width="33.90625" style="811" customWidth="1"/>
    <col min="1029" max="1029" width="60" style="811" customWidth="1"/>
    <col min="1030" max="1030" width="164.08984375" style="811" customWidth="1"/>
    <col min="1031" max="1031" width="24.453125" style="811" customWidth="1"/>
    <col min="1032" max="1032" width="10.6328125" style="811" bestFit="1" customWidth="1"/>
    <col min="1033" max="1281" width="9.08984375" style="811"/>
    <col min="1282" max="1282" width="21.6328125" style="811" customWidth="1"/>
    <col min="1283" max="1283" width="27.90625" style="811" customWidth="1"/>
    <col min="1284" max="1284" width="33.90625" style="811" customWidth="1"/>
    <col min="1285" max="1285" width="60" style="811" customWidth="1"/>
    <col min="1286" max="1286" width="164.08984375" style="811" customWidth="1"/>
    <col min="1287" max="1287" width="24.453125" style="811" customWidth="1"/>
    <col min="1288" max="1288" width="10.6328125" style="811" bestFit="1" customWidth="1"/>
    <col min="1289" max="1537" width="9.08984375" style="811"/>
    <col min="1538" max="1538" width="21.6328125" style="811" customWidth="1"/>
    <col min="1539" max="1539" width="27.90625" style="811" customWidth="1"/>
    <col min="1540" max="1540" width="33.90625" style="811" customWidth="1"/>
    <col min="1541" max="1541" width="60" style="811" customWidth="1"/>
    <col min="1542" max="1542" width="164.08984375" style="811" customWidth="1"/>
    <col min="1543" max="1543" width="24.453125" style="811" customWidth="1"/>
    <col min="1544" max="1544" width="10.6328125" style="811" bestFit="1" customWidth="1"/>
    <col min="1545" max="1793" width="9.08984375" style="811"/>
    <col min="1794" max="1794" width="21.6328125" style="811" customWidth="1"/>
    <col min="1795" max="1795" width="27.90625" style="811" customWidth="1"/>
    <col min="1796" max="1796" width="33.90625" style="811" customWidth="1"/>
    <col min="1797" max="1797" width="60" style="811" customWidth="1"/>
    <col min="1798" max="1798" width="164.08984375" style="811" customWidth="1"/>
    <col min="1799" max="1799" width="24.453125" style="811" customWidth="1"/>
    <col min="1800" max="1800" width="10.6328125" style="811" bestFit="1" customWidth="1"/>
    <col min="1801" max="2049" width="9.08984375" style="811"/>
    <col min="2050" max="2050" width="21.6328125" style="811" customWidth="1"/>
    <col min="2051" max="2051" width="27.90625" style="811" customWidth="1"/>
    <col min="2052" max="2052" width="33.90625" style="811" customWidth="1"/>
    <col min="2053" max="2053" width="60" style="811" customWidth="1"/>
    <col min="2054" max="2054" width="164.08984375" style="811" customWidth="1"/>
    <col min="2055" max="2055" width="24.453125" style="811" customWidth="1"/>
    <col min="2056" max="2056" width="10.6328125" style="811" bestFit="1" customWidth="1"/>
    <col min="2057" max="2305" width="9.08984375" style="811"/>
    <col min="2306" max="2306" width="21.6328125" style="811" customWidth="1"/>
    <col min="2307" max="2307" width="27.90625" style="811" customWidth="1"/>
    <col min="2308" max="2308" width="33.90625" style="811" customWidth="1"/>
    <col min="2309" max="2309" width="60" style="811" customWidth="1"/>
    <col min="2310" max="2310" width="164.08984375" style="811" customWidth="1"/>
    <col min="2311" max="2311" width="24.453125" style="811" customWidth="1"/>
    <col min="2312" max="2312" width="10.6328125" style="811" bestFit="1" customWidth="1"/>
    <col min="2313" max="2561" width="9.08984375" style="811"/>
    <col min="2562" max="2562" width="21.6328125" style="811" customWidth="1"/>
    <col min="2563" max="2563" width="27.90625" style="811" customWidth="1"/>
    <col min="2564" max="2564" width="33.90625" style="811" customWidth="1"/>
    <col min="2565" max="2565" width="60" style="811" customWidth="1"/>
    <col min="2566" max="2566" width="164.08984375" style="811" customWidth="1"/>
    <col min="2567" max="2567" width="24.453125" style="811" customWidth="1"/>
    <col min="2568" max="2568" width="10.6328125" style="811" bestFit="1" customWidth="1"/>
    <col min="2569" max="2817" width="9.08984375" style="811"/>
    <col min="2818" max="2818" width="21.6328125" style="811" customWidth="1"/>
    <col min="2819" max="2819" width="27.90625" style="811" customWidth="1"/>
    <col min="2820" max="2820" width="33.90625" style="811" customWidth="1"/>
    <col min="2821" max="2821" width="60" style="811" customWidth="1"/>
    <col min="2822" max="2822" width="164.08984375" style="811" customWidth="1"/>
    <col min="2823" max="2823" width="24.453125" style="811" customWidth="1"/>
    <col min="2824" max="2824" width="10.6328125" style="811" bestFit="1" customWidth="1"/>
    <col min="2825" max="3073" width="9.08984375" style="811"/>
    <col min="3074" max="3074" width="21.6328125" style="811" customWidth="1"/>
    <col min="3075" max="3075" width="27.90625" style="811" customWidth="1"/>
    <col min="3076" max="3076" width="33.90625" style="811" customWidth="1"/>
    <col min="3077" max="3077" width="60" style="811" customWidth="1"/>
    <col min="3078" max="3078" width="164.08984375" style="811" customWidth="1"/>
    <col min="3079" max="3079" width="24.453125" style="811" customWidth="1"/>
    <col min="3080" max="3080" width="10.6328125" style="811" bestFit="1" customWidth="1"/>
    <col min="3081" max="3329" width="9.08984375" style="811"/>
    <col min="3330" max="3330" width="21.6328125" style="811" customWidth="1"/>
    <col min="3331" max="3331" width="27.90625" style="811" customWidth="1"/>
    <col min="3332" max="3332" width="33.90625" style="811" customWidth="1"/>
    <col min="3333" max="3333" width="60" style="811" customWidth="1"/>
    <col min="3334" max="3334" width="164.08984375" style="811" customWidth="1"/>
    <col min="3335" max="3335" width="24.453125" style="811" customWidth="1"/>
    <col min="3336" max="3336" width="10.6328125" style="811" bestFit="1" customWidth="1"/>
    <col min="3337" max="3585" width="9.08984375" style="811"/>
    <col min="3586" max="3586" width="21.6328125" style="811" customWidth="1"/>
    <col min="3587" max="3587" width="27.90625" style="811" customWidth="1"/>
    <col min="3588" max="3588" width="33.90625" style="811" customWidth="1"/>
    <col min="3589" max="3589" width="60" style="811" customWidth="1"/>
    <col min="3590" max="3590" width="164.08984375" style="811" customWidth="1"/>
    <col min="3591" max="3591" width="24.453125" style="811" customWidth="1"/>
    <col min="3592" max="3592" width="10.6328125" style="811" bestFit="1" customWidth="1"/>
    <col min="3593" max="3841" width="9.08984375" style="811"/>
    <col min="3842" max="3842" width="21.6328125" style="811" customWidth="1"/>
    <col min="3843" max="3843" width="27.90625" style="811" customWidth="1"/>
    <col min="3844" max="3844" width="33.90625" style="811" customWidth="1"/>
    <col min="3845" max="3845" width="60" style="811" customWidth="1"/>
    <col min="3846" max="3846" width="164.08984375" style="811" customWidth="1"/>
    <col min="3847" max="3847" width="24.453125" style="811" customWidth="1"/>
    <col min="3848" max="3848" width="10.6328125" style="811" bestFit="1" customWidth="1"/>
    <col min="3849" max="4097" width="9.08984375" style="811"/>
    <col min="4098" max="4098" width="21.6328125" style="811" customWidth="1"/>
    <col min="4099" max="4099" width="27.90625" style="811" customWidth="1"/>
    <col min="4100" max="4100" width="33.90625" style="811" customWidth="1"/>
    <col min="4101" max="4101" width="60" style="811" customWidth="1"/>
    <col min="4102" max="4102" width="164.08984375" style="811" customWidth="1"/>
    <col min="4103" max="4103" width="24.453125" style="811" customWidth="1"/>
    <col min="4104" max="4104" width="10.6328125" style="811" bestFit="1" customWidth="1"/>
    <col min="4105" max="4353" width="9.08984375" style="811"/>
    <col min="4354" max="4354" width="21.6328125" style="811" customWidth="1"/>
    <col min="4355" max="4355" width="27.90625" style="811" customWidth="1"/>
    <col min="4356" max="4356" width="33.90625" style="811" customWidth="1"/>
    <col min="4357" max="4357" width="60" style="811" customWidth="1"/>
    <col min="4358" max="4358" width="164.08984375" style="811" customWidth="1"/>
    <col min="4359" max="4359" width="24.453125" style="811" customWidth="1"/>
    <col min="4360" max="4360" width="10.6328125" style="811" bestFit="1" customWidth="1"/>
    <col min="4361" max="4609" width="9.08984375" style="811"/>
    <col min="4610" max="4610" width="21.6328125" style="811" customWidth="1"/>
    <col min="4611" max="4611" width="27.90625" style="811" customWidth="1"/>
    <col min="4612" max="4612" width="33.90625" style="811" customWidth="1"/>
    <col min="4613" max="4613" width="60" style="811" customWidth="1"/>
    <col min="4614" max="4614" width="164.08984375" style="811" customWidth="1"/>
    <col min="4615" max="4615" width="24.453125" style="811" customWidth="1"/>
    <col min="4616" max="4616" width="10.6328125" style="811" bestFit="1" customWidth="1"/>
    <col min="4617" max="4865" width="9.08984375" style="811"/>
    <col min="4866" max="4866" width="21.6328125" style="811" customWidth="1"/>
    <col min="4867" max="4867" width="27.90625" style="811" customWidth="1"/>
    <col min="4868" max="4868" width="33.90625" style="811" customWidth="1"/>
    <col min="4869" max="4869" width="60" style="811" customWidth="1"/>
    <col min="4870" max="4870" width="164.08984375" style="811" customWidth="1"/>
    <col min="4871" max="4871" width="24.453125" style="811" customWidth="1"/>
    <col min="4872" max="4872" width="10.6328125" style="811" bestFit="1" customWidth="1"/>
    <col min="4873" max="5121" width="9.08984375" style="811"/>
    <col min="5122" max="5122" width="21.6328125" style="811" customWidth="1"/>
    <col min="5123" max="5123" width="27.90625" style="811" customWidth="1"/>
    <col min="5124" max="5124" width="33.90625" style="811" customWidth="1"/>
    <col min="5125" max="5125" width="60" style="811" customWidth="1"/>
    <col min="5126" max="5126" width="164.08984375" style="811" customWidth="1"/>
    <col min="5127" max="5127" width="24.453125" style="811" customWidth="1"/>
    <col min="5128" max="5128" width="10.6328125" style="811" bestFit="1" customWidth="1"/>
    <col min="5129" max="5377" width="9.08984375" style="811"/>
    <col min="5378" max="5378" width="21.6328125" style="811" customWidth="1"/>
    <col min="5379" max="5379" width="27.90625" style="811" customWidth="1"/>
    <col min="5380" max="5380" width="33.90625" style="811" customWidth="1"/>
    <col min="5381" max="5381" width="60" style="811" customWidth="1"/>
    <col min="5382" max="5382" width="164.08984375" style="811" customWidth="1"/>
    <col min="5383" max="5383" width="24.453125" style="811" customWidth="1"/>
    <col min="5384" max="5384" width="10.6328125" style="811" bestFit="1" customWidth="1"/>
    <col min="5385" max="5633" width="9.08984375" style="811"/>
    <col min="5634" max="5634" width="21.6328125" style="811" customWidth="1"/>
    <col min="5635" max="5635" width="27.90625" style="811" customWidth="1"/>
    <col min="5636" max="5636" width="33.90625" style="811" customWidth="1"/>
    <col min="5637" max="5637" width="60" style="811" customWidth="1"/>
    <col min="5638" max="5638" width="164.08984375" style="811" customWidth="1"/>
    <col min="5639" max="5639" width="24.453125" style="811" customWidth="1"/>
    <col min="5640" max="5640" width="10.6328125" style="811" bestFit="1" customWidth="1"/>
    <col min="5641" max="5889" width="9.08984375" style="811"/>
    <col min="5890" max="5890" width="21.6328125" style="811" customWidth="1"/>
    <col min="5891" max="5891" width="27.90625" style="811" customWidth="1"/>
    <col min="5892" max="5892" width="33.90625" style="811" customWidth="1"/>
    <col min="5893" max="5893" width="60" style="811" customWidth="1"/>
    <col min="5894" max="5894" width="164.08984375" style="811" customWidth="1"/>
    <col min="5895" max="5895" width="24.453125" style="811" customWidth="1"/>
    <col min="5896" max="5896" width="10.6328125" style="811" bestFit="1" customWidth="1"/>
    <col min="5897" max="6145" width="9.08984375" style="811"/>
    <col min="6146" max="6146" width="21.6328125" style="811" customWidth="1"/>
    <col min="6147" max="6147" width="27.90625" style="811" customWidth="1"/>
    <col min="6148" max="6148" width="33.90625" style="811" customWidth="1"/>
    <col min="6149" max="6149" width="60" style="811" customWidth="1"/>
    <col min="6150" max="6150" width="164.08984375" style="811" customWidth="1"/>
    <col min="6151" max="6151" width="24.453125" style="811" customWidth="1"/>
    <col min="6152" max="6152" width="10.6328125" style="811" bestFit="1" customWidth="1"/>
    <col min="6153" max="6401" width="9.08984375" style="811"/>
    <col min="6402" max="6402" width="21.6328125" style="811" customWidth="1"/>
    <col min="6403" max="6403" width="27.90625" style="811" customWidth="1"/>
    <col min="6404" max="6404" width="33.90625" style="811" customWidth="1"/>
    <col min="6405" max="6405" width="60" style="811" customWidth="1"/>
    <col min="6406" max="6406" width="164.08984375" style="811" customWidth="1"/>
    <col min="6407" max="6407" width="24.453125" style="811" customWidth="1"/>
    <col min="6408" max="6408" width="10.6328125" style="811" bestFit="1" customWidth="1"/>
    <col min="6409" max="6657" width="9.08984375" style="811"/>
    <col min="6658" max="6658" width="21.6328125" style="811" customWidth="1"/>
    <col min="6659" max="6659" width="27.90625" style="811" customWidth="1"/>
    <col min="6660" max="6660" width="33.90625" style="811" customWidth="1"/>
    <col min="6661" max="6661" width="60" style="811" customWidth="1"/>
    <col min="6662" max="6662" width="164.08984375" style="811" customWidth="1"/>
    <col min="6663" max="6663" width="24.453125" style="811" customWidth="1"/>
    <col min="6664" max="6664" width="10.6328125" style="811" bestFit="1" customWidth="1"/>
    <col min="6665" max="6913" width="9.08984375" style="811"/>
    <col min="6914" max="6914" width="21.6328125" style="811" customWidth="1"/>
    <col min="6915" max="6915" width="27.90625" style="811" customWidth="1"/>
    <col min="6916" max="6916" width="33.90625" style="811" customWidth="1"/>
    <col min="6917" max="6917" width="60" style="811" customWidth="1"/>
    <col min="6918" max="6918" width="164.08984375" style="811" customWidth="1"/>
    <col min="6919" max="6919" width="24.453125" style="811" customWidth="1"/>
    <col min="6920" max="6920" width="10.6328125" style="811" bestFit="1" customWidth="1"/>
    <col min="6921" max="7169" width="9.08984375" style="811"/>
    <col min="7170" max="7170" width="21.6328125" style="811" customWidth="1"/>
    <col min="7171" max="7171" width="27.90625" style="811" customWidth="1"/>
    <col min="7172" max="7172" width="33.90625" style="811" customWidth="1"/>
    <col min="7173" max="7173" width="60" style="811" customWidth="1"/>
    <col min="7174" max="7174" width="164.08984375" style="811" customWidth="1"/>
    <col min="7175" max="7175" width="24.453125" style="811" customWidth="1"/>
    <col min="7176" max="7176" width="10.6328125" style="811" bestFit="1" customWidth="1"/>
    <col min="7177" max="7425" width="9.08984375" style="811"/>
    <col min="7426" max="7426" width="21.6328125" style="811" customWidth="1"/>
    <col min="7427" max="7427" width="27.90625" style="811" customWidth="1"/>
    <col min="7428" max="7428" width="33.90625" style="811" customWidth="1"/>
    <col min="7429" max="7429" width="60" style="811" customWidth="1"/>
    <col min="7430" max="7430" width="164.08984375" style="811" customWidth="1"/>
    <col min="7431" max="7431" width="24.453125" style="811" customWidth="1"/>
    <col min="7432" max="7432" width="10.6328125" style="811" bestFit="1" customWidth="1"/>
    <col min="7433" max="7681" width="9.08984375" style="811"/>
    <col min="7682" max="7682" width="21.6328125" style="811" customWidth="1"/>
    <col min="7683" max="7683" width="27.90625" style="811" customWidth="1"/>
    <col min="7684" max="7684" width="33.90625" style="811" customWidth="1"/>
    <col min="7685" max="7685" width="60" style="811" customWidth="1"/>
    <col min="7686" max="7686" width="164.08984375" style="811" customWidth="1"/>
    <col min="7687" max="7687" width="24.453125" style="811" customWidth="1"/>
    <col min="7688" max="7688" width="10.6328125" style="811" bestFit="1" customWidth="1"/>
    <col min="7689" max="7937" width="9.08984375" style="811"/>
    <col min="7938" max="7938" width="21.6328125" style="811" customWidth="1"/>
    <col min="7939" max="7939" width="27.90625" style="811" customWidth="1"/>
    <col min="7940" max="7940" width="33.90625" style="811" customWidth="1"/>
    <col min="7941" max="7941" width="60" style="811" customWidth="1"/>
    <col min="7942" max="7942" width="164.08984375" style="811" customWidth="1"/>
    <col min="7943" max="7943" width="24.453125" style="811" customWidth="1"/>
    <col min="7944" max="7944" width="10.6328125" style="811" bestFit="1" customWidth="1"/>
    <col min="7945" max="8193" width="9.08984375" style="811"/>
    <col min="8194" max="8194" width="21.6328125" style="811" customWidth="1"/>
    <col min="8195" max="8195" width="27.90625" style="811" customWidth="1"/>
    <col min="8196" max="8196" width="33.90625" style="811" customWidth="1"/>
    <col min="8197" max="8197" width="60" style="811" customWidth="1"/>
    <col min="8198" max="8198" width="164.08984375" style="811" customWidth="1"/>
    <col min="8199" max="8199" width="24.453125" style="811" customWidth="1"/>
    <col min="8200" max="8200" width="10.6328125" style="811" bestFit="1" customWidth="1"/>
    <col min="8201" max="8449" width="9.08984375" style="811"/>
    <col min="8450" max="8450" width="21.6328125" style="811" customWidth="1"/>
    <col min="8451" max="8451" width="27.90625" style="811" customWidth="1"/>
    <col min="8452" max="8452" width="33.90625" style="811" customWidth="1"/>
    <col min="8453" max="8453" width="60" style="811" customWidth="1"/>
    <col min="8454" max="8454" width="164.08984375" style="811" customWidth="1"/>
    <col min="8455" max="8455" width="24.453125" style="811" customWidth="1"/>
    <col min="8456" max="8456" width="10.6328125" style="811" bestFit="1" customWidth="1"/>
    <col min="8457" max="8705" width="9.08984375" style="811"/>
    <col min="8706" max="8706" width="21.6328125" style="811" customWidth="1"/>
    <col min="8707" max="8707" width="27.90625" style="811" customWidth="1"/>
    <col min="8708" max="8708" width="33.90625" style="811" customWidth="1"/>
    <col min="8709" max="8709" width="60" style="811" customWidth="1"/>
    <col min="8710" max="8710" width="164.08984375" style="811" customWidth="1"/>
    <col min="8711" max="8711" width="24.453125" style="811" customWidth="1"/>
    <col min="8712" max="8712" width="10.6328125" style="811" bestFit="1" customWidth="1"/>
    <col min="8713" max="8961" width="9.08984375" style="811"/>
    <col min="8962" max="8962" width="21.6328125" style="811" customWidth="1"/>
    <col min="8963" max="8963" width="27.90625" style="811" customWidth="1"/>
    <col min="8964" max="8964" width="33.90625" style="811" customWidth="1"/>
    <col min="8965" max="8965" width="60" style="811" customWidth="1"/>
    <col min="8966" max="8966" width="164.08984375" style="811" customWidth="1"/>
    <col min="8967" max="8967" width="24.453125" style="811" customWidth="1"/>
    <col min="8968" max="8968" width="10.6328125" style="811" bestFit="1" customWidth="1"/>
    <col min="8969" max="9217" width="9.08984375" style="811"/>
    <col min="9218" max="9218" width="21.6328125" style="811" customWidth="1"/>
    <col min="9219" max="9219" width="27.90625" style="811" customWidth="1"/>
    <col min="9220" max="9220" width="33.90625" style="811" customWidth="1"/>
    <col min="9221" max="9221" width="60" style="811" customWidth="1"/>
    <col min="9222" max="9222" width="164.08984375" style="811" customWidth="1"/>
    <col min="9223" max="9223" width="24.453125" style="811" customWidth="1"/>
    <col min="9224" max="9224" width="10.6328125" style="811" bestFit="1" customWidth="1"/>
    <col min="9225" max="9473" width="9.08984375" style="811"/>
    <col min="9474" max="9474" width="21.6328125" style="811" customWidth="1"/>
    <col min="9475" max="9475" width="27.90625" style="811" customWidth="1"/>
    <col min="9476" max="9476" width="33.90625" style="811" customWidth="1"/>
    <col min="9477" max="9477" width="60" style="811" customWidth="1"/>
    <col min="9478" max="9478" width="164.08984375" style="811" customWidth="1"/>
    <col min="9479" max="9479" width="24.453125" style="811" customWidth="1"/>
    <col min="9480" max="9480" width="10.6328125" style="811" bestFit="1" customWidth="1"/>
    <col min="9481" max="9729" width="9.08984375" style="811"/>
    <col min="9730" max="9730" width="21.6328125" style="811" customWidth="1"/>
    <col min="9731" max="9731" width="27.90625" style="811" customWidth="1"/>
    <col min="9732" max="9732" width="33.90625" style="811" customWidth="1"/>
    <col min="9733" max="9733" width="60" style="811" customWidth="1"/>
    <col min="9734" max="9734" width="164.08984375" style="811" customWidth="1"/>
    <col min="9735" max="9735" width="24.453125" style="811" customWidth="1"/>
    <col min="9736" max="9736" width="10.6328125" style="811" bestFit="1" customWidth="1"/>
    <col min="9737" max="9985" width="9.08984375" style="811"/>
    <col min="9986" max="9986" width="21.6328125" style="811" customWidth="1"/>
    <col min="9987" max="9987" width="27.90625" style="811" customWidth="1"/>
    <col min="9988" max="9988" width="33.90625" style="811" customWidth="1"/>
    <col min="9989" max="9989" width="60" style="811" customWidth="1"/>
    <col min="9990" max="9990" width="164.08984375" style="811" customWidth="1"/>
    <col min="9991" max="9991" width="24.453125" style="811" customWidth="1"/>
    <col min="9992" max="9992" width="10.6328125" style="811" bestFit="1" customWidth="1"/>
    <col min="9993" max="10241" width="9.08984375" style="811"/>
    <col min="10242" max="10242" width="21.6328125" style="811" customWidth="1"/>
    <col min="10243" max="10243" width="27.90625" style="811" customWidth="1"/>
    <col min="10244" max="10244" width="33.90625" style="811" customWidth="1"/>
    <col min="10245" max="10245" width="60" style="811" customWidth="1"/>
    <col min="10246" max="10246" width="164.08984375" style="811" customWidth="1"/>
    <col min="10247" max="10247" width="24.453125" style="811" customWidth="1"/>
    <col min="10248" max="10248" width="10.6328125" style="811" bestFit="1" customWidth="1"/>
    <col min="10249" max="10497" width="9.08984375" style="811"/>
    <col min="10498" max="10498" width="21.6328125" style="811" customWidth="1"/>
    <col min="10499" max="10499" width="27.90625" style="811" customWidth="1"/>
    <col min="10500" max="10500" width="33.90625" style="811" customWidth="1"/>
    <col min="10501" max="10501" width="60" style="811" customWidth="1"/>
    <col min="10502" max="10502" width="164.08984375" style="811" customWidth="1"/>
    <col min="10503" max="10503" width="24.453125" style="811" customWidth="1"/>
    <col min="10504" max="10504" width="10.6328125" style="811" bestFit="1" customWidth="1"/>
    <col min="10505" max="10753" width="9.08984375" style="811"/>
    <col min="10754" max="10754" width="21.6328125" style="811" customWidth="1"/>
    <col min="10755" max="10755" width="27.90625" style="811" customWidth="1"/>
    <col min="10756" max="10756" width="33.90625" style="811" customWidth="1"/>
    <col min="10757" max="10757" width="60" style="811" customWidth="1"/>
    <col min="10758" max="10758" width="164.08984375" style="811" customWidth="1"/>
    <col min="10759" max="10759" width="24.453125" style="811" customWidth="1"/>
    <col min="10760" max="10760" width="10.6328125" style="811" bestFit="1" customWidth="1"/>
    <col min="10761" max="11009" width="9.08984375" style="811"/>
    <col min="11010" max="11010" width="21.6328125" style="811" customWidth="1"/>
    <col min="11011" max="11011" width="27.90625" style="811" customWidth="1"/>
    <col min="11012" max="11012" width="33.90625" style="811" customWidth="1"/>
    <col min="11013" max="11013" width="60" style="811" customWidth="1"/>
    <col min="11014" max="11014" width="164.08984375" style="811" customWidth="1"/>
    <col min="11015" max="11015" width="24.453125" style="811" customWidth="1"/>
    <col min="11016" max="11016" width="10.6328125" style="811" bestFit="1" customWidth="1"/>
    <col min="11017" max="11265" width="9.08984375" style="811"/>
    <col min="11266" max="11266" width="21.6328125" style="811" customWidth="1"/>
    <col min="11267" max="11267" width="27.90625" style="811" customWidth="1"/>
    <col min="11268" max="11268" width="33.90625" style="811" customWidth="1"/>
    <col min="11269" max="11269" width="60" style="811" customWidth="1"/>
    <col min="11270" max="11270" width="164.08984375" style="811" customWidth="1"/>
    <col min="11271" max="11271" width="24.453125" style="811" customWidth="1"/>
    <col min="11272" max="11272" width="10.6328125" style="811" bestFit="1" customWidth="1"/>
    <col min="11273" max="11521" width="9.08984375" style="811"/>
    <col min="11522" max="11522" width="21.6328125" style="811" customWidth="1"/>
    <col min="11523" max="11523" width="27.90625" style="811" customWidth="1"/>
    <col min="11524" max="11524" width="33.90625" style="811" customWidth="1"/>
    <col min="11525" max="11525" width="60" style="811" customWidth="1"/>
    <col min="11526" max="11526" width="164.08984375" style="811" customWidth="1"/>
    <col min="11527" max="11527" width="24.453125" style="811" customWidth="1"/>
    <col min="11528" max="11528" width="10.6328125" style="811" bestFit="1" customWidth="1"/>
    <col min="11529" max="11777" width="9.08984375" style="811"/>
    <col min="11778" max="11778" width="21.6328125" style="811" customWidth="1"/>
    <col min="11779" max="11779" width="27.90625" style="811" customWidth="1"/>
    <col min="11780" max="11780" width="33.90625" style="811" customWidth="1"/>
    <col min="11781" max="11781" width="60" style="811" customWidth="1"/>
    <col min="11782" max="11782" width="164.08984375" style="811" customWidth="1"/>
    <col min="11783" max="11783" width="24.453125" style="811" customWidth="1"/>
    <col min="11784" max="11784" width="10.6328125" style="811" bestFit="1" customWidth="1"/>
    <col min="11785" max="12033" width="9.08984375" style="811"/>
    <col min="12034" max="12034" width="21.6328125" style="811" customWidth="1"/>
    <col min="12035" max="12035" width="27.90625" style="811" customWidth="1"/>
    <col min="12036" max="12036" width="33.90625" style="811" customWidth="1"/>
    <col min="12037" max="12037" width="60" style="811" customWidth="1"/>
    <col min="12038" max="12038" width="164.08984375" style="811" customWidth="1"/>
    <col min="12039" max="12039" width="24.453125" style="811" customWidth="1"/>
    <col min="12040" max="12040" width="10.6328125" style="811" bestFit="1" customWidth="1"/>
    <col min="12041" max="12289" width="9.08984375" style="811"/>
    <col min="12290" max="12290" width="21.6328125" style="811" customWidth="1"/>
    <col min="12291" max="12291" width="27.90625" style="811" customWidth="1"/>
    <col min="12292" max="12292" width="33.90625" style="811" customWidth="1"/>
    <col min="12293" max="12293" width="60" style="811" customWidth="1"/>
    <col min="12294" max="12294" width="164.08984375" style="811" customWidth="1"/>
    <col min="12295" max="12295" width="24.453125" style="811" customWidth="1"/>
    <col min="12296" max="12296" width="10.6328125" style="811" bestFit="1" customWidth="1"/>
    <col min="12297" max="12545" width="9.08984375" style="811"/>
    <col min="12546" max="12546" width="21.6328125" style="811" customWidth="1"/>
    <col min="12547" max="12547" width="27.90625" style="811" customWidth="1"/>
    <col min="12548" max="12548" width="33.90625" style="811" customWidth="1"/>
    <col min="12549" max="12549" width="60" style="811" customWidth="1"/>
    <col min="12550" max="12550" width="164.08984375" style="811" customWidth="1"/>
    <col min="12551" max="12551" width="24.453125" style="811" customWidth="1"/>
    <col min="12552" max="12552" width="10.6328125" style="811" bestFit="1" customWidth="1"/>
    <col min="12553" max="12801" width="9.08984375" style="811"/>
    <col min="12802" max="12802" width="21.6328125" style="811" customWidth="1"/>
    <col min="12803" max="12803" width="27.90625" style="811" customWidth="1"/>
    <col min="12804" max="12804" width="33.90625" style="811" customWidth="1"/>
    <col min="12805" max="12805" width="60" style="811" customWidth="1"/>
    <col min="12806" max="12806" width="164.08984375" style="811" customWidth="1"/>
    <col min="12807" max="12807" width="24.453125" style="811" customWidth="1"/>
    <col min="12808" max="12808" width="10.6328125" style="811" bestFit="1" customWidth="1"/>
    <col min="12809" max="13057" width="9.08984375" style="811"/>
    <col min="13058" max="13058" width="21.6328125" style="811" customWidth="1"/>
    <col min="13059" max="13059" width="27.90625" style="811" customWidth="1"/>
    <col min="13060" max="13060" width="33.90625" style="811" customWidth="1"/>
    <col min="13061" max="13061" width="60" style="811" customWidth="1"/>
    <col min="13062" max="13062" width="164.08984375" style="811" customWidth="1"/>
    <col min="13063" max="13063" width="24.453125" style="811" customWidth="1"/>
    <col min="13064" max="13064" width="10.6328125" style="811" bestFit="1" customWidth="1"/>
    <col min="13065" max="13313" width="9.08984375" style="811"/>
    <col min="13314" max="13314" width="21.6328125" style="811" customWidth="1"/>
    <col min="13315" max="13315" width="27.90625" style="811" customWidth="1"/>
    <col min="13316" max="13316" width="33.90625" style="811" customWidth="1"/>
    <col min="13317" max="13317" width="60" style="811" customWidth="1"/>
    <col min="13318" max="13318" width="164.08984375" style="811" customWidth="1"/>
    <col min="13319" max="13319" width="24.453125" style="811" customWidth="1"/>
    <col min="13320" max="13320" width="10.6328125" style="811" bestFit="1" customWidth="1"/>
    <col min="13321" max="13569" width="9.08984375" style="811"/>
    <col min="13570" max="13570" width="21.6328125" style="811" customWidth="1"/>
    <col min="13571" max="13571" width="27.90625" style="811" customWidth="1"/>
    <col min="13572" max="13572" width="33.90625" style="811" customWidth="1"/>
    <col min="13573" max="13573" width="60" style="811" customWidth="1"/>
    <col min="13574" max="13574" width="164.08984375" style="811" customWidth="1"/>
    <col min="13575" max="13575" width="24.453125" style="811" customWidth="1"/>
    <col min="13576" max="13576" width="10.6328125" style="811" bestFit="1" customWidth="1"/>
    <col min="13577" max="13825" width="9.08984375" style="811"/>
    <col min="13826" max="13826" width="21.6328125" style="811" customWidth="1"/>
    <col min="13827" max="13827" width="27.90625" style="811" customWidth="1"/>
    <col min="13828" max="13828" width="33.90625" style="811" customWidth="1"/>
    <col min="13829" max="13829" width="60" style="811" customWidth="1"/>
    <col min="13830" max="13830" width="164.08984375" style="811" customWidth="1"/>
    <col min="13831" max="13831" width="24.453125" style="811" customWidth="1"/>
    <col min="13832" max="13832" width="10.6328125" style="811" bestFit="1" customWidth="1"/>
    <col min="13833" max="14081" width="9.08984375" style="811"/>
    <col min="14082" max="14082" width="21.6328125" style="811" customWidth="1"/>
    <col min="14083" max="14083" width="27.90625" style="811" customWidth="1"/>
    <col min="14084" max="14084" width="33.90625" style="811" customWidth="1"/>
    <col min="14085" max="14085" width="60" style="811" customWidth="1"/>
    <col min="14086" max="14086" width="164.08984375" style="811" customWidth="1"/>
    <col min="14087" max="14087" width="24.453125" style="811" customWidth="1"/>
    <col min="14088" max="14088" width="10.6328125" style="811" bestFit="1" customWidth="1"/>
    <col min="14089" max="14337" width="9.08984375" style="811"/>
    <col min="14338" max="14338" width="21.6328125" style="811" customWidth="1"/>
    <col min="14339" max="14339" width="27.90625" style="811" customWidth="1"/>
    <col min="14340" max="14340" width="33.90625" style="811" customWidth="1"/>
    <col min="14341" max="14341" width="60" style="811" customWidth="1"/>
    <col min="14342" max="14342" width="164.08984375" style="811" customWidth="1"/>
    <col min="14343" max="14343" width="24.453125" style="811" customWidth="1"/>
    <col min="14344" max="14344" width="10.6328125" style="811" bestFit="1" customWidth="1"/>
    <col min="14345" max="14593" width="9.08984375" style="811"/>
    <col min="14594" max="14594" width="21.6328125" style="811" customWidth="1"/>
    <col min="14595" max="14595" width="27.90625" style="811" customWidth="1"/>
    <col min="14596" max="14596" width="33.90625" style="811" customWidth="1"/>
    <col min="14597" max="14597" width="60" style="811" customWidth="1"/>
    <col min="14598" max="14598" width="164.08984375" style="811" customWidth="1"/>
    <col min="14599" max="14599" width="24.453125" style="811" customWidth="1"/>
    <col min="14600" max="14600" width="10.6328125" style="811" bestFit="1" customWidth="1"/>
    <col min="14601" max="14849" width="9.08984375" style="811"/>
    <col min="14850" max="14850" width="21.6328125" style="811" customWidth="1"/>
    <col min="14851" max="14851" width="27.90625" style="811" customWidth="1"/>
    <col min="14852" max="14852" width="33.90625" style="811" customWidth="1"/>
    <col min="14853" max="14853" width="60" style="811" customWidth="1"/>
    <col min="14854" max="14854" width="164.08984375" style="811" customWidth="1"/>
    <col min="14855" max="14855" width="24.453125" style="811" customWidth="1"/>
    <col min="14856" max="14856" width="10.6328125" style="811" bestFit="1" customWidth="1"/>
    <col min="14857" max="15105" width="9.08984375" style="811"/>
    <col min="15106" max="15106" width="21.6328125" style="811" customWidth="1"/>
    <col min="15107" max="15107" width="27.90625" style="811" customWidth="1"/>
    <col min="15108" max="15108" width="33.90625" style="811" customWidth="1"/>
    <col min="15109" max="15109" width="60" style="811" customWidth="1"/>
    <col min="15110" max="15110" width="164.08984375" style="811" customWidth="1"/>
    <col min="15111" max="15111" width="24.453125" style="811" customWidth="1"/>
    <col min="15112" max="15112" width="10.6328125" style="811" bestFit="1" customWidth="1"/>
    <col min="15113" max="15361" width="9.08984375" style="811"/>
    <col min="15362" max="15362" width="21.6328125" style="811" customWidth="1"/>
    <col min="15363" max="15363" width="27.90625" style="811" customWidth="1"/>
    <col min="15364" max="15364" width="33.90625" style="811" customWidth="1"/>
    <col min="15365" max="15365" width="60" style="811" customWidth="1"/>
    <col min="15366" max="15366" width="164.08984375" style="811" customWidth="1"/>
    <col min="15367" max="15367" width="24.453125" style="811" customWidth="1"/>
    <col min="15368" max="15368" width="10.6328125" style="811" bestFit="1" customWidth="1"/>
    <col min="15369" max="15617" width="9.08984375" style="811"/>
    <col min="15618" max="15618" width="21.6328125" style="811" customWidth="1"/>
    <col min="15619" max="15619" width="27.90625" style="811" customWidth="1"/>
    <col min="15620" max="15620" width="33.90625" style="811" customWidth="1"/>
    <col min="15621" max="15621" width="60" style="811" customWidth="1"/>
    <col min="15622" max="15622" width="164.08984375" style="811" customWidth="1"/>
    <col min="15623" max="15623" width="24.453125" style="811" customWidth="1"/>
    <col min="15624" max="15624" width="10.6328125" style="811" bestFit="1" customWidth="1"/>
    <col min="15625" max="15873" width="9.08984375" style="811"/>
    <col min="15874" max="15874" width="21.6328125" style="811" customWidth="1"/>
    <col min="15875" max="15875" width="27.90625" style="811" customWidth="1"/>
    <col min="15876" max="15876" width="33.90625" style="811" customWidth="1"/>
    <col min="15877" max="15877" width="60" style="811" customWidth="1"/>
    <col min="15878" max="15878" width="164.08984375" style="811" customWidth="1"/>
    <col min="15879" max="15879" width="24.453125" style="811" customWidth="1"/>
    <col min="15880" max="15880" width="10.6328125" style="811" bestFit="1" customWidth="1"/>
    <col min="15881" max="16129" width="9.08984375" style="811"/>
    <col min="16130" max="16130" width="21.6328125" style="811" customWidth="1"/>
    <col min="16131" max="16131" width="27.90625" style="811" customWidth="1"/>
    <col min="16132" max="16132" width="33.90625" style="811" customWidth="1"/>
    <col min="16133" max="16133" width="60" style="811" customWidth="1"/>
    <col min="16134" max="16134" width="164.08984375" style="811" customWidth="1"/>
    <col min="16135" max="16135" width="24.453125" style="811" customWidth="1"/>
    <col min="16136" max="16136" width="10.6328125" style="811" bestFit="1" customWidth="1"/>
    <col min="16137" max="16384" width="9.08984375" style="811"/>
  </cols>
  <sheetData>
    <row r="1" spans="2:12" x14ac:dyDescent="0.3">
      <c r="C1" s="848"/>
      <c r="D1" s="848"/>
    </row>
    <row r="2" spans="2:12" x14ac:dyDescent="0.3">
      <c r="C2" s="91"/>
      <c r="D2" s="91"/>
      <c r="E2" s="798" t="str">
        <f>Index!B2</f>
        <v xml:space="preserve">      Maharashtra State Power Generation Company Ltd.</v>
      </c>
      <c r="F2" s="91"/>
      <c r="G2" s="91"/>
      <c r="H2" s="91"/>
      <c r="I2" s="91"/>
    </row>
    <row r="3" spans="2:12" x14ac:dyDescent="0.3">
      <c r="C3" s="473"/>
      <c r="D3" s="473"/>
      <c r="E3" s="809" t="s">
        <v>1192</v>
      </c>
      <c r="F3" s="473"/>
      <c r="G3" s="473"/>
      <c r="H3" s="473"/>
      <c r="I3" s="473"/>
    </row>
    <row r="4" spans="2:12" x14ac:dyDescent="0.3">
      <c r="C4" s="473"/>
      <c r="D4" s="473"/>
      <c r="E4" s="809" t="s">
        <v>1193</v>
      </c>
      <c r="F4" s="473"/>
      <c r="G4" s="473"/>
      <c r="H4" s="473"/>
      <c r="I4" s="473"/>
    </row>
    <row r="5" spans="2:12" x14ac:dyDescent="0.3">
      <c r="B5" s="849"/>
      <c r="C5" s="849"/>
      <c r="D5" s="849"/>
    </row>
    <row r="6" spans="2:12" s="851" customFormat="1" ht="42" x14ac:dyDescent="0.25">
      <c r="B6" s="850" t="s">
        <v>38</v>
      </c>
      <c r="C6" s="850" t="s">
        <v>1194</v>
      </c>
      <c r="D6" s="850" t="s">
        <v>1195</v>
      </c>
      <c r="E6" s="850" t="s">
        <v>1196</v>
      </c>
      <c r="F6" s="850" t="s">
        <v>1197</v>
      </c>
    </row>
    <row r="7" spans="2:12" s="851" customFormat="1" x14ac:dyDescent="0.25">
      <c r="B7" s="1802" t="s">
        <v>1199</v>
      </c>
      <c r="C7" s="1803"/>
      <c r="D7" s="1803"/>
      <c r="E7" s="1803"/>
      <c r="F7" s="1804"/>
    </row>
    <row r="8" spans="2:12" s="851" customFormat="1" x14ac:dyDescent="0.25">
      <c r="B8" s="1805"/>
      <c r="C8" s="1806"/>
      <c r="D8" s="1806"/>
      <c r="E8" s="1806"/>
      <c r="F8" s="1807"/>
    </row>
    <row r="9" spans="2:12" s="851" customFormat="1" x14ac:dyDescent="0.25">
      <c r="B9" s="1805"/>
      <c r="C9" s="1806"/>
      <c r="D9" s="1806"/>
      <c r="E9" s="1806"/>
      <c r="F9" s="1807"/>
    </row>
    <row r="10" spans="2:12" s="851" customFormat="1" x14ac:dyDescent="0.25">
      <c r="B10" s="1805"/>
      <c r="C10" s="1806"/>
      <c r="D10" s="1806"/>
      <c r="E10" s="1806"/>
      <c r="F10" s="1807"/>
    </row>
    <row r="11" spans="2:12" s="851" customFormat="1" x14ac:dyDescent="0.25">
      <c r="B11" s="1805"/>
      <c r="C11" s="1806"/>
      <c r="D11" s="1806"/>
      <c r="E11" s="1806"/>
      <c r="F11" s="1807"/>
    </row>
    <row r="12" spans="2:12" s="851" customFormat="1" x14ac:dyDescent="0.25">
      <c r="B12" s="1808"/>
      <c r="C12" s="1809"/>
      <c r="D12" s="1809"/>
      <c r="E12" s="1809"/>
      <c r="F12" s="1810"/>
    </row>
    <row r="13" spans="2:12" s="851" customFormat="1" x14ac:dyDescent="0.3">
      <c r="B13" s="852"/>
      <c r="C13" s="544"/>
      <c r="D13" s="853"/>
      <c r="E13" s="852"/>
      <c r="F13" s="544"/>
      <c r="G13" s="854"/>
      <c r="H13" s="545"/>
      <c r="I13" s="853"/>
      <c r="J13" s="855"/>
      <c r="L13" s="856"/>
    </row>
    <row r="14" spans="2:12" x14ac:dyDescent="0.3">
      <c r="B14" s="811" t="s">
        <v>1198</v>
      </c>
    </row>
    <row r="29" spans="3:3" ht="29.4" customHeight="1" x14ac:dyDescent="0.3">
      <c r="C29" s="857"/>
    </row>
  </sheetData>
  <mergeCells count="1">
    <mergeCell ref="B7:F12"/>
  </mergeCells>
  <printOptions horizontalCentered="1" verticalCentered="1"/>
  <pageMargins left="1.1023622047244095" right="0.59055118110236227" top="0.78740157480314965" bottom="0.27559055118110237" header="0.51181102362204722" footer="0.15748031496062992"/>
  <pageSetup paperSize="9" scale="9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G29"/>
  <sheetViews>
    <sheetView showGridLines="0" view="pageBreakPreview" zoomScale="80" zoomScaleNormal="75" zoomScaleSheetLayoutView="80" workbookViewId="0">
      <selection activeCell="H23" sqref="H23"/>
    </sheetView>
  </sheetViews>
  <sheetFormatPr defaultColWidth="9.08984375" defaultRowHeight="14" x14ac:dyDescent="0.3"/>
  <cols>
    <col min="1" max="1" width="9.08984375" style="811"/>
    <col min="2" max="2" width="62.08984375" style="811" customWidth="1"/>
    <col min="3" max="3" width="24.54296875" style="811" customWidth="1"/>
    <col min="4" max="4" width="19.54296875" style="811" customWidth="1"/>
    <col min="5" max="5" width="18.453125" style="811" customWidth="1"/>
    <col min="6" max="6" width="21.6328125" style="811" customWidth="1"/>
    <col min="7" max="7" width="21.36328125" style="811" customWidth="1"/>
    <col min="8" max="258" width="9.08984375" style="811"/>
    <col min="259" max="259" width="110.36328125" style="811" customWidth="1"/>
    <col min="260" max="260" width="43.54296875" style="811" customWidth="1"/>
    <col min="261" max="261" width="35.54296875" style="811" customWidth="1"/>
    <col min="262" max="262" width="36" style="811" customWidth="1"/>
    <col min="263" max="263" width="34.90625" style="811" customWidth="1"/>
    <col min="264" max="514" width="9.08984375" style="811"/>
    <col min="515" max="515" width="110.36328125" style="811" customWidth="1"/>
    <col min="516" max="516" width="43.54296875" style="811" customWidth="1"/>
    <col min="517" max="517" width="35.54296875" style="811" customWidth="1"/>
    <col min="518" max="518" width="36" style="811" customWidth="1"/>
    <col min="519" max="519" width="34.90625" style="811" customWidth="1"/>
    <col min="520" max="770" width="9.08984375" style="811"/>
    <col min="771" max="771" width="110.36328125" style="811" customWidth="1"/>
    <col min="772" max="772" width="43.54296875" style="811" customWidth="1"/>
    <col min="773" max="773" width="35.54296875" style="811" customWidth="1"/>
    <col min="774" max="774" width="36" style="811" customWidth="1"/>
    <col min="775" max="775" width="34.90625" style="811" customWidth="1"/>
    <col min="776" max="1026" width="9.08984375" style="811"/>
    <col min="1027" max="1027" width="110.36328125" style="811" customWidth="1"/>
    <col min="1028" max="1028" width="43.54296875" style="811" customWidth="1"/>
    <col min="1029" max="1029" width="35.54296875" style="811" customWidth="1"/>
    <col min="1030" max="1030" width="36" style="811" customWidth="1"/>
    <col min="1031" max="1031" width="34.90625" style="811" customWidth="1"/>
    <col min="1032" max="1282" width="9.08984375" style="811"/>
    <col min="1283" max="1283" width="110.36328125" style="811" customWidth="1"/>
    <col min="1284" max="1284" width="43.54296875" style="811" customWidth="1"/>
    <col min="1285" max="1285" width="35.54296875" style="811" customWidth="1"/>
    <col min="1286" max="1286" width="36" style="811" customWidth="1"/>
    <col min="1287" max="1287" width="34.90625" style="811" customWidth="1"/>
    <col min="1288" max="1538" width="9.08984375" style="811"/>
    <col min="1539" max="1539" width="110.36328125" style="811" customWidth="1"/>
    <col min="1540" max="1540" width="43.54296875" style="811" customWidth="1"/>
    <col min="1541" max="1541" width="35.54296875" style="811" customWidth="1"/>
    <col min="1542" max="1542" width="36" style="811" customWidth="1"/>
    <col min="1543" max="1543" width="34.90625" style="811" customWidth="1"/>
    <col min="1544" max="1794" width="9.08984375" style="811"/>
    <col min="1795" max="1795" width="110.36328125" style="811" customWidth="1"/>
    <col min="1796" max="1796" width="43.54296875" style="811" customWidth="1"/>
    <col min="1797" max="1797" width="35.54296875" style="811" customWidth="1"/>
    <col min="1798" max="1798" width="36" style="811" customWidth="1"/>
    <col min="1799" max="1799" width="34.90625" style="811" customWidth="1"/>
    <col min="1800" max="2050" width="9.08984375" style="811"/>
    <col min="2051" max="2051" width="110.36328125" style="811" customWidth="1"/>
    <col min="2052" max="2052" width="43.54296875" style="811" customWidth="1"/>
    <col min="2053" max="2053" width="35.54296875" style="811" customWidth="1"/>
    <col min="2054" max="2054" width="36" style="811" customWidth="1"/>
    <col min="2055" max="2055" width="34.90625" style="811" customWidth="1"/>
    <col min="2056" max="2306" width="9.08984375" style="811"/>
    <col min="2307" max="2307" width="110.36328125" style="811" customWidth="1"/>
    <col min="2308" max="2308" width="43.54296875" style="811" customWidth="1"/>
    <col min="2309" max="2309" width="35.54296875" style="811" customWidth="1"/>
    <col min="2310" max="2310" width="36" style="811" customWidth="1"/>
    <col min="2311" max="2311" width="34.90625" style="811" customWidth="1"/>
    <col min="2312" max="2562" width="9.08984375" style="811"/>
    <col min="2563" max="2563" width="110.36328125" style="811" customWidth="1"/>
    <col min="2564" max="2564" width="43.54296875" style="811" customWidth="1"/>
    <col min="2565" max="2565" width="35.54296875" style="811" customWidth="1"/>
    <col min="2566" max="2566" width="36" style="811" customWidth="1"/>
    <col min="2567" max="2567" width="34.90625" style="811" customWidth="1"/>
    <col min="2568" max="2818" width="9.08984375" style="811"/>
    <col min="2819" max="2819" width="110.36328125" style="811" customWidth="1"/>
    <col min="2820" max="2820" width="43.54296875" style="811" customWidth="1"/>
    <col min="2821" max="2821" width="35.54296875" style="811" customWidth="1"/>
    <col min="2822" max="2822" width="36" style="811" customWidth="1"/>
    <col min="2823" max="2823" width="34.90625" style="811" customWidth="1"/>
    <col min="2824" max="3074" width="9.08984375" style="811"/>
    <col min="3075" max="3075" width="110.36328125" style="811" customWidth="1"/>
    <col min="3076" max="3076" width="43.54296875" style="811" customWidth="1"/>
    <col min="3077" max="3077" width="35.54296875" style="811" customWidth="1"/>
    <col min="3078" max="3078" width="36" style="811" customWidth="1"/>
    <col min="3079" max="3079" width="34.90625" style="811" customWidth="1"/>
    <col min="3080" max="3330" width="9.08984375" style="811"/>
    <col min="3331" max="3331" width="110.36328125" style="811" customWidth="1"/>
    <col min="3332" max="3332" width="43.54296875" style="811" customWidth="1"/>
    <col min="3333" max="3333" width="35.54296875" style="811" customWidth="1"/>
    <col min="3334" max="3334" width="36" style="811" customWidth="1"/>
    <col min="3335" max="3335" width="34.90625" style="811" customWidth="1"/>
    <col min="3336" max="3586" width="9.08984375" style="811"/>
    <col min="3587" max="3587" width="110.36328125" style="811" customWidth="1"/>
    <col min="3588" max="3588" width="43.54296875" style="811" customWidth="1"/>
    <col min="3589" max="3589" width="35.54296875" style="811" customWidth="1"/>
    <col min="3590" max="3590" width="36" style="811" customWidth="1"/>
    <col min="3591" max="3591" width="34.90625" style="811" customWidth="1"/>
    <col min="3592" max="3842" width="9.08984375" style="811"/>
    <col min="3843" max="3843" width="110.36328125" style="811" customWidth="1"/>
    <col min="3844" max="3844" width="43.54296875" style="811" customWidth="1"/>
    <col min="3845" max="3845" width="35.54296875" style="811" customWidth="1"/>
    <col min="3846" max="3846" width="36" style="811" customWidth="1"/>
    <col min="3847" max="3847" width="34.90625" style="811" customWidth="1"/>
    <col min="3848" max="4098" width="9.08984375" style="811"/>
    <col min="4099" max="4099" width="110.36328125" style="811" customWidth="1"/>
    <col min="4100" max="4100" width="43.54296875" style="811" customWidth="1"/>
    <col min="4101" max="4101" width="35.54296875" style="811" customWidth="1"/>
    <col min="4102" max="4102" width="36" style="811" customWidth="1"/>
    <col min="4103" max="4103" width="34.90625" style="811" customWidth="1"/>
    <col min="4104" max="4354" width="9.08984375" style="811"/>
    <col min="4355" max="4355" width="110.36328125" style="811" customWidth="1"/>
    <col min="4356" max="4356" width="43.54296875" style="811" customWidth="1"/>
    <col min="4357" max="4357" width="35.54296875" style="811" customWidth="1"/>
    <col min="4358" max="4358" width="36" style="811" customWidth="1"/>
    <col min="4359" max="4359" width="34.90625" style="811" customWidth="1"/>
    <col min="4360" max="4610" width="9.08984375" style="811"/>
    <col min="4611" max="4611" width="110.36328125" style="811" customWidth="1"/>
    <col min="4612" max="4612" width="43.54296875" style="811" customWidth="1"/>
    <col min="4613" max="4613" width="35.54296875" style="811" customWidth="1"/>
    <col min="4614" max="4614" width="36" style="811" customWidth="1"/>
    <col min="4615" max="4615" width="34.90625" style="811" customWidth="1"/>
    <col min="4616" max="4866" width="9.08984375" style="811"/>
    <col min="4867" max="4867" width="110.36328125" style="811" customWidth="1"/>
    <col min="4868" max="4868" width="43.54296875" style="811" customWidth="1"/>
    <col min="4869" max="4869" width="35.54296875" style="811" customWidth="1"/>
    <col min="4870" max="4870" width="36" style="811" customWidth="1"/>
    <col min="4871" max="4871" width="34.90625" style="811" customWidth="1"/>
    <col min="4872" max="5122" width="9.08984375" style="811"/>
    <col min="5123" max="5123" width="110.36328125" style="811" customWidth="1"/>
    <col min="5124" max="5124" width="43.54296875" style="811" customWidth="1"/>
    <col min="5125" max="5125" width="35.54296875" style="811" customWidth="1"/>
    <col min="5126" max="5126" width="36" style="811" customWidth="1"/>
    <col min="5127" max="5127" width="34.90625" style="811" customWidth="1"/>
    <col min="5128" max="5378" width="9.08984375" style="811"/>
    <col min="5379" max="5379" width="110.36328125" style="811" customWidth="1"/>
    <col min="5380" max="5380" width="43.54296875" style="811" customWidth="1"/>
    <col min="5381" max="5381" width="35.54296875" style="811" customWidth="1"/>
    <col min="5382" max="5382" width="36" style="811" customWidth="1"/>
    <col min="5383" max="5383" width="34.90625" style="811" customWidth="1"/>
    <col min="5384" max="5634" width="9.08984375" style="811"/>
    <col min="5635" max="5635" width="110.36328125" style="811" customWidth="1"/>
    <col min="5636" max="5636" width="43.54296875" style="811" customWidth="1"/>
    <col min="5637" max="5637" width="35.54296875" style="811" customWidth="1"/>
    <col min="5638" max="5638" width="36" style="811" customWidth="1"/>
    <col min="5639" max="5639" width="34.90625" style="811" customWidth="1"/>
    <col min="5640" max="5890" width="9.08984375" style="811"/>
    <col min="5891" max="5891" width="110.36328125" style="811" customWidth="1"/>
    <col min="5892" max="5892" width="43.54296875" style="811" customWidth="1"/>
    <col min="5893" max="5893" width="35.54296875" style="811" customWidth="1"/>
    <col min="5894" max="5894" width="36" style="811" customWidth="1"/>
    <col min="5895" max="5895" width="34.90625" style="811" customWidth="1"/>
    <col min="5896" max="6146" width="9.08984375" style="811"/>
    <col min="6147" max="6147" width="110.36328125" style="811" customWidth="1"/>
    <col min="6148" max="6148" width="43.54296875" style="811" customWidth="1"/>
    <col min="6149" max="6149" width="35.54296875" style="811" customWidth="1"/>
    <col min="6150" max="6150" width="36" style="811" customWidth="1"/>
    <col min="6151" max="6151" width="34.90625" style="811" customWidth="1"/>
    <col min="6152" max="6402" width="9.08984375" style="811"/>
    <col min="6403" max="6403" width="110.36328125" style="811" customWidth="1"/>
    <col min="6404" max="6404" width="43.54296875" style="811" customWidth="1"/>
    <col min="6405" max="6405" width="35.54296875" style="811" customWidth="1"/>
    <col min="6406" max="6406" width="36" style="811" customWidth="1"/>
    <col min="6407" max="6407" width="34.90625" style="811" customWidth="1"/>
    <col min="6408" max="6658" width="9.08984375" style="811"/>
    <col min="6659" max="6659" width="110.36328125" style="811" customWidth="1"/>
    <col min="6660" max="6660" width="43.54296875" style="811" customWidth="1"/>
    <col min="6661" max="6661" width="35.54296875" style="811" customWidth="1"/>
    <col min="6662" max="6662" width="36" style="811" customWidth="1"/>
    <col min="6663" max="6663" width="34.90625" style="811" customWidth="1"/>
    <col min="6664" max="6914" width="9.08984375" style="811"/>
    <col min="6915" max="6915" width="110.36328125" style="811" customWidth="1"/>
    <col min="6916" max="6916" width="43.54296875" style="811" customWidth="1"/>
    <col min="6917" max="6917" width="35.54296875" style="811" customWidth="1"/>
    <col min="6918" max="6918" width="36" style="811" customWidth="1"/>
    <col min="6919" max="6919" width="34.90625" style="811" customWidth="1"/>
    <col min="6920" max="7170" width="9.08984375" style="811"/>
    <col min="7171" max="7171" width="110.36328125" style="811" customWidth="1"/>
    <col min="7172" max="7172" width="43.54296875" style="811" customWidth="1"/>
    <col min="7173" max="7173" width="35.54296875" style="811" customWidth="1"/>
    <col min="7174" max="7174" width="36" style="811" customWidth="1"/>
    <col min="7175" max="7175" width="34.90625" style="811" customWidth="1"/>
    <col min="7176" max="7426" width="9.08984375" style="811"/>
    <col min="7427" max="7427" width="110.36328125" style="811" customWidth="1"/>
    <col min="7428" max="7428" width="43.54296875" style="811" customWidth="1"/>
    <col min="7429" max="7429" width="35.54296875" style="811" customWidth="1"/>
    <col min="7430" max="7430" width="36" style="811" customWidth="1"/>
    <col min="7431" max="7431" width="34.90625" style="811" customWidth="1"/>
    <col min="7432" max="7682" width="9.08984375" style="811"/>
    <col min="7683" max="7683" width="110.36328125" style="811" customWidth="1"/>
    <col min="7684" max="7684" width="43.54296875" style="811" customWidth="1"/>
    <col min="7685" max="7685" width="35.54296875" style="811" customWidth="1"/>
    <col min="7686" max="7686" width="36" style="811" customWidth="1"/>
    <col min="7687" max="7687" width="34.90625" style="811" customWidth="1"/>
    <col min="7688" max="7938" width="9.08984375" style="811"/>
    <col min="7939" max="7939" width="110.36328125" style="811" customWidth="1"/>
    <col min="7940" max="7940" width="43.54296875" style="811" customWidth="1"/>
    <col min="7941" max="7941" width="35.54296875" style="811" customWidth="1"/>
    <col min="7942" max="7942" width="36" style="811" customWidth="1"/>
    <col min="7943" max="7943" width="34.90625" style="811" customWidth="1"/>
    <col min="7944" max="8194" width="9.08984375" style="811"/>
    <col min="8195" max="8195" width="110.36328125" style="811" customWidth="1"/>
    <col min="8196" max="8196" width="43.54296875" style="811" customWidth="1"/>
    <col min="8197" max="8197" width="35.54296875" style="811" customWidth="1"/>
    <col min="8198" max="8198" width="36" style="811" customWidth="1"/>
    <col min="8199" max="8199" width="34.90625" style="811" customWidth="1"/>
    <col min="8200" max="8450" width="9.08984375" style="811"/>
    <col min="8451" max="8451" width="110.36328125" style="811" customWidth="1"/>
    <col min="8452" max="8452" width="43.54296875" style="811" customWidth="1"/>
    <col min="8453" max="8453" width="35.54296875" style="811" customWidth="1"/>
    <col min="8454" max="8454" width="36" style="811" customWidth="1"/>
    <col min="8455" max="8455" width="34.90625" style="811" customWidth="1"/>
    <col min="8456" max="8706" width="9.08984375" style="811"/>
    <col min="8707" max="8707" width="110.36328125" style="811" customWidth="1"/>
    <col min="8708" max="8708" width="43.54296875" style="811" customWidth="1"/>
    <col min="8709" max="8709" width="35.54296875" style="811" customWidth="1"/>
    <col min="8710" max="8710" width="36" style="811" customWidth="1"/>
    <col min="8711" max="8711" width="34.90625" style="811" customWidth="1"/>
    <col min="8712" max="8962" width="9.08984375" style="811"/>
    <col min="8963" max="8963" width="110.36328125" style="811" customWidth="1"/>
    <col min="8964" max="8964" width="43.54296875" style="811" customWidth="1"/>
    <col min="8965" max="8965" width="35.54296875" style="811" customWidth="1"/>
    <col min="8966" max="8966" width="36" style="811" customWidth="1"/>
    <col min="8967" max="8967" width="34.90625" style="811" customWidth="1"/>
    <col min="8968" max="9218" width="9.08984375" style="811"/>
    <col min="9219" max="9219" width="110.36328125" style="811" customWidth="1"/>
    <col min="9220" max="9220" width="43.54296875" style="811" customWidth="1"/>
    <col min="9221" max="9221" width="35.54296875" style="811" customWidth="1"/>
    <col min="9222" max="9222" width="36" style="811" customWidth="1"/>
    <col min="9223" max="9223" width="34.90625" style="811" customWidth="1"/>
    <col min="9224" max="9474" width="9.08984375" style="811"/>
    <col min="9475" max="9475" width="110.36328125" style="811" customWidth="1"/>
    <col min="9476" max="9476" width="43.54296875" style="811" customWidth="1"/>
    <col min="9477" max="9477" width="35.54296875" style="811" customWidth="1"/>
    <col min="9478" max="9478" width="36" style="811" customWidth="1"/>
    <col min="9479" max="9479" width="34.90625" style="811" customWidth="1"/>
    <col min="9480" max="9730" width="9.08984375" style="811"/>
    <col min="9731" max="9731" width="110.36328125" style="811" customWidth="1"/>
    <col min="9732" max="9732" width="43.54296875" style="811" customWidth="1"/>
    <col min="9733" max="9733" width="35.54296875" style="811" customWidth="1"/>
    <col min="9734" max="9734" width="36" style="811" customWidth="1"/>
    <col min="9735" max="9735" width="34.90625" style="811" customWidth="1"/>
    <col min="9736" max="9986" width="9.08984375" style="811"/>
    <col min="9987" max="9987" width="110.36328125" style="811" customWidth="1"/>
    <col min="9988" max="9988" width="43.54296875" style="811" customWidth="1"/>
    <col min="9989" max="9989" width="35.54296875" style="811" customWidth="1"/>
    <col min="9990" max="9990" width="36" style="811" customWidth="1"/>
    <col min="9991" max="9991" width="34.90625" style="811" customWidth="1"/>
    <col min="9992" max="10242" width="9.08984375" style="811"/>
    <col min="10243" max="10243" width="110.36328125" style="811" customWidth="1"/>
    <col min="10244" max="10244" width="43.54296875" style="811" customWidth="1"/>
    <col min="10245" max="10245" width="35.54296875" style="811" customWidth="1"/>
    <col min="10246" max="10246" width="36" style="811" customWidth="1"/>
    <col min="10247" max="10247" width="34.90625" style="811" customWidth="1"/>
    <col min="10248" max="10498" width="9.08984375" style="811"/>
    <col min="10499" max="10499" width="110.36328125" style="811" customWidth="1"/>
    <col min="10500" max="10500" width="43.54296875" style="811" customWidth="1"/>
    <col min="10501" max="10501" width="35.54296875" style="811" customWidth="1"/>
    <col min="10502" max="10502" width="36" style="811" customWidth="1"/>
    <col min="10503" max="10503" width="34.90625" style="811" customWidth="1"/>
    <col min="10504" max="10754" width="9.08984375" style="811"/>
    <col min="10755" max="10755" width="110.36328125" style="811" customWidth="1"/>
    <col min="10756" max="10756" width="43.54296875" style="811" customWidth="1"/>
    <col min="10757" max="10757" width="35.54296875" style="811" customWidth="1"/>
    <col min="10758" max="10758" width="36" style="811" customWidth="1"/>
    <col min="10759" max="10759" width="34.90625" style="811" customWidth="1"/>
    <col min="10760" max="11010" width="9.08984375" style="811"/>
    <col min="11011" max="11011" width="110.36328125" style="811" customWidth="1"/>
    <col min="11012" max="11012" width="43.54296875" style="811" customWidth="1"/>
    <col min="11013" max="11013" width="35.54296875" style="811" customWidth="1"/>
    <col min="11014" max="11014" width="36" style="811" customWidth="1"/>
    <col min="11015" max="11015" width="34.90625" style="811" customWidth="1"/>
    <col min="11016" max="11266" width="9.08984375" style="811"/>
    <col min="11267" max="11267" width="110.36328125" style="811" customWidth="1"/>
    <col min="11268" max="11268" width="43.54296875" style="811" customWidth="1"/>
    <col min="11269" max="11269" width="35.54296875" style="811" customWidth="1"/>
    <col min="11270" max="11270" width="36" style="811" customWidth="1"/>
    <col min="11271" max="11271" width="34.90625" style="811" customWidth="1"/>
    <col min="11272" max="11522" width="9.08984375" style="811"/>
    <col min="11523" max="11523" width="110.36328125" style="811" customWidth="1"/>
    <col min="11524" max="11524" width="43.54296875" style="811" customWidth="1"/>
    <col min="11525" max="11525" width="35.54296875" style="811" customWidth="1"/>
    <col min="11526" max="11526" width="36" style="811" customWidth="1"/>
    <col min="11527" max="11527" width="34.90625" style="811" customWidth="1"/>
    <col min="11528" max="11778" width="9.08984375" style="811"/>
    <col min="11779" max="11779" width="110.36328125" style="811" customWidth="1"/>
    <col min="11780" max="11780" width="43.54296875" style="811" customWidth="1"/>
    <col min="11781" max="11781" width="35.54296875" style="811" customWidth="1"/>
    <col min="11782" max="11782" width="36" style="811" customWidth="1"/>
    <col min="11783" max="11783" width="34.90625" style="811" customWidth="1"/>
    <col min="11784" max="12034" width="9.08984375" style="811"/>
    <col min="12035" max="12035" width="110.36328125" style="811" customWidth="1"/>
    <col min="12036" max="12036" width="43.54296875" style="811" customWidth="1"/>
    <col min="12037" max="12037" width="35.54296875" style="811" customWidth="1"/>
    <col min="12038" max="12038" width="36" style="811" customWidth="1"/>
    <col min="12039" max="12039" width="34.90625" style="811" customWidth="1"/>
    <col min="12040" max="12290" width="9.08984375" style="811"/>
    <col min="12291" max="12291" width="110.36328125" style="811" customWidth="1"/>
    <col min="12292" max="12292" width="43.54296875" style="811" customWidth="1"/>
    <col min="12293" max="12293" width="35.54296875" style="811" customWidth="1"/>
    <col min="12294" max="12294" width="36" style="811" customWidth="1"/>
    <col min="12295" max="12295" width="34.90625" style="811" customWidth="1"/>
    <col min="12296" max="12546" width="9.08984375" style="811"/>
    <col min="12547" max="12547" width="110.36328125" style="811" customWidth="1"/>
    <col min="12548" max="12548" width="43.54296875" style="811" customWidth="1"/>
    <col min="12549" max="12549" width="35.54296875" style="811" customWidth="1"/>
    <col min="12550" max="12550" width="36" style="811" customWidth="1"/>
    <col min="12551" max="12551" width="34.90625" style="811" customWidth="1"/>
    <col min="12552" max="12802" width="9.08984375" style="811"/>
    <col min="12803" max="12803" width="110.36328125" style="811" customWidth="1"/>
    <col min="12804" max="12804" width="43.54296875" style="811" customWidth="1"/>
    <col min="12805" max="12805" width="35.54296875" style="811" customWidth="1"/>
    <col min="12806" max="12806" width="36" style="811" customWidth="1"/>
    <col min="12807" max="12807" width="34.90625" style="811" customWidth="1"/>
    <col min="12808" max="13058" width="9.08984375" style="811"/>
    <col min="13059" max="13059" width="110.36328125" style="811" customWidth="1"/>
    <col min="13060" max="13060" width="43.54296875" style="811" customWidth="1"/>
    <col min="13061" max="13061" width="35.54296875" style="811" customWidth="1"/>
    <col min="13062" max="13062" width="36" style="811" customWidth="1"/>
    <col min="13063" max="13063" width="34.90625" style="811" customWidth="1"/>
    <col min="13064" max="13314" width="9.08984375" style="811"/>
    <col min="13315" max="13315" width="110.36328125" style="811" customWidth="1"/>
    <col min="13316" max="13316" width="43.54296875" style="811" customWidth="1"/>
    <col min="13317" max="13317" width="35.54296875" style="811" customWidth="1"/>
    <col min="13318" max="13318" width="36" style="811" customWidth="1"/>
    <col min="13319" max="13319" width="34.90625" style="811" customWidth="1"/>
    <col min="13320" max="13570" width="9.08984375" style="811"/>
    <col min="13571" max="13571" width="110.36328125" style="811" customWidth="1"/>
    <col min="13572" max="13572" width="43.54296875" style="811" customWidth="1"/>
    <col min="13573" max="13573" width="35.54296875" style="811" customWidth="1"/>
    <col min="13574" max="13574" width="36" style="811" customWidth="1"/>
    <col min="13575" max="13575" width="34.90625" style="811" customWidth="1"/>
    <col min="13576" max="13826" width="9.08984375" style="811"/>
    <col min="13827" max="13827" width="110.36328125" style="811" customWidth="1"/>
    <col min="13828" max="13828" width="43.54296875" style="811" customWidth="1"/>
    <col min="13829" max="13829" width="35.54296875" style="811" customWidth="1"/>
    <col min="13830" max="13830" width="36" style="811" customWidth="1"/>
    <col min="13831" max="13831" width="34.90625" style="811" customWidth="1"/>
    <col min="13832" max="14082" width="9.08984375" style="811"/>
    <col min="14083" max="14083" width="110.36328125" style="811" customWidth="1"/>
    <col min="14084" max="14084" width="43.54296875" style="811" customWidth="1"/>
    <col min="14085" max="14085" width="35.54296875" style="811" customWidth="1"/>
    <col min="14086" max="14086" width="36" style="811" customWidth="1"/>
    <col min="14087" max="14087" width="34.90625" style="811" customWidth="1"/>
    <col min="14088" max="14338" width="9.08984375" style="811"/>
    <col min="14339" max="14339" width="110.36328125" style="811" customWidth="1"/>
    <col min="14340" max="14340" width="43.54296875" style="811" customWidth="1"/>
    <col min="14341" max="14341" width="35.54296875" style="811" customWidth="1"/>
    <col min="14342" max="14342" width="36" style="811" customWidth="1"/>
    <col min="14343" max="14343" width="34.90625" style="811" customWidth="1"/>
    <col min="14344" max="14594" width="9.08984375" style="811"/>
    <col min="14595" max="14595" width="110.36328125" style="811" customWidth="1"/>
    <col min="14596" max="14596" width="43.54296875" style="811" customWidth="1"/>
    <col min="14597" max="14597" width="35.54296875" style="811" customWidth="1"/>
    <col min="14598" max="14598" width="36" style="811" customWidth="1"/>
    <col min="14599" max="14599" width="34.90625" style="811" customWidth="1"/>
    <col min="14600" max="14850" width="9.08984375" style="811"/>
    <col min="14851" max="14851" width="110.36328125" style="811" customWidth="1"/>
    <col min="14852" max="14852" width="43.54296875" style="811" customWidth="1"/>
    <col min="14853" max="14853" width="35.54296875" style="811" customWidth="1"/>
    <col min="14854" max="14854" width="36" style="811" customWidth="1"/>
    <col min="14855" max="14855" width="34.90625" style="811" customWidth="1"/>
    <col min="14856" max="15106" width="9.08984375" style="811"/>
    <col min="15107" max="15107" width="110.36328125" style="811" customWidth="1"/>
    <col min="15108" max="15108" width="43.54296875" style="811" customWidth="1"/>
    <col min="15109" max="15109" width="35.54296875" style="811" customWidth="1"/>
    <col min="15110" max="15110" width="36" style="811" customWidth="1"/>
    <col min="15111" max="15111" width="34.90625" style="811" customWidth="1"/>
    <col min="15112" max="15362" width="9.08984375" style="811"/>
    <col min="15363" max="15363" width="110.36328125" style="811" customWidth="1"/>
    <col min="15364" max="15364" width="43.54296875" style="811" customWidth="1"/>
    <col min="15365" max="15365" width="35.54296875" style="811" customWidth="1"/>
    <col min="15366" max="15366" width="36" style="811" customWidth="1"/>
    <col min="15367" max="15367" width="34.90625" style="811" customWidth="1"/>
    <col min="15368" max="15618" width="9.08984375" style="811"/>
    <col min="15619" max="15619" width="110.36328125" style="811" customWidth="1"/>
    <col min="15620" max="15620" width="43.54296875" style="811" customWidth="1"/>
    <col min="15621" max="15621" width="35.54296875" style="811" customWidth="1"/>
    <col min="15622" max="15622" width="36" style="811" customWidth="1"/>
    <col min="15623" max="15623" width="34.90625" style="811" customWidth="1"/>
    <col min="15624" max="15874" width="9.08984375" style="811"/>
    <col min="15875" max="15875" width="110.36328125" style="811" customWidth="1"/>
    <col min="15876" max="15876" width="43.54296875" style="811" customWidth="1"/>
    <col min="15877" max="15877" width="35.54296875" style="811" customWidth="1"/>
    <col min="15878" max="15878" width="36" style="811" customWidth="1"/>
    <col min="15879" max="15879" width="34.90625" style="811" customWidth="1"/>
    <col min="15880" max="16130" width="9.08984375" style="811"/>
    <col min="16131" max="16131" width="110.36328125" style="811" customWidth="1"/>
    <col min="16132" max="16132" width="43.54296875" style="811" customWidth="1"/>
    <col min="16133" max="16133" width="35.54296875" style="811" customWidth="1"/>
    <col min="16134" max="16134" width="36" style="811" customWidth="1"/>
    <col min="16135" max="16135" width="34.90625" style="811" customWidth="1"/>
    <col min="16136" max="16384" width="9.08984375" style="811"/>
  </cols>
  <sheetData>
    <row r="2" spans="2:7" x14ac:dyDescent="0.3">
      <c r="B2" s="22"/>
      <c r="C2" s="798" t="str">
        <f>Index!B2</f>
        <v xml:space="preserve">      Maharashtra State Power Generation Company Ltd.</v>
      </c>
      <c r="D2" s="22"/>
      <c r="E2" s="22"/>
      <c r="F2" s="22"/>
      <c r="G2" s="22"/>
    </row>
    <row r="3" spans="2:7" x14ac:dyDescent="0.3">
      <c r="B3" s="858"/>
      <c r="C3" s="809" t="s">
        <v>1192</v>
      </c>
      <c r="D3" s="858"/>
      <c r="E3" s="858"/>
      <c r="F3" s="858"/>
      <c r="G3" s="858"/>
    </row>
    <row r="4" spans="2:7" x14ac:dyDescent="0.3">
      <c r="B4" s="858"/>
      <c r="C4" s="809" t="s">
        <v>1200</v>
      </c>
      <c r="D4" s="858"/>
      <c r="E4" s="858"/>
      <c r="F4" s="858"/>
      <c r="G4" s="858"/>
    </row>
    <row r="5" spans="2:7" x14ac:dyDescent="0.3">
      <c r="B5" s="22"/>
      <c r="C5" s="809"/>
      <c r="D5" s="22"/>
      <c r="E5" s="22"/>
      <c r="F5" s="22"/>
      <c r="G5" s="21" t="s">
        <v>10</v>
      </c>
    </row>
    <row r="6" spans="2:7" s="862" customFormat="1" ht="61.5" customHeight="1" x14ac:dyDescent="0.25">
      <c r="B6" s="859" t="s">
        <v>38</v>
      </c>
      <c r="C6" s="860" t="s">
        <v>1201</v>
      </c>
      <c r="D6" s="860" t="s">
        <v>1202</v>
      </c>
      <c r="E6" s="860" t="s">
        <v>1203</v>
      </c>
      <c r="F6" s="861" t="s">
        <v>1204</v>
      </c>
      <c r="G6" s="860" t="s">
        <v>1205</v>
      </c>
    </row>
    <row r="7" spans="2:7" x14ac:dyDescent="0.3">
      <c r="B7" s="863" t="s">
        <v>1206</v>
      </c>
      <c r="C7" s="1811" t="s">
        <v>1199</v>
      </c>
      <c r="D7" s="1812"/>
      <c r="E7" s="1812"/>
      <c r="F7" s="1812"/>
      <c r="G7" s="1813"/>
    </row>
    <row r="8" spans="2:7" x14ac:dyDescent="0.3">
      <c r="B8" s="864" t="s">
        <v>1207</v>
      </c>
      <c r="C8" s="1814"/>
      <c r="D8" s="1815"/>
      <c r="E8" s="1815"/>
      <c r="F8" s="1815"/>
      <c r="G8" s="1816"/>
    </row>
    <row r="9" spans="2:7" x14ac:dyDescent="0.3">
      <c r="B9" s="864" t="s">
        <v>1208</v>
      </c>
      <c r="C9" s="1814"/>
      <c r="D9" s="1815"/>
      <c r="E9" s="1815"/>
      <c r="F9" s="1815"/>
      <c r="G9" s="1816"/>
    </row>
    <row r="10" spans="2:7" x14ac:dyDescent="0.3">
      <c r="B10" s="864" t="s">
        <v>1204</v>
      </c>
      <c r="C10" s="1814"/>
      <c r="D10" s="1815"/>
      <c r="E10" s="1815"/>
      <c r="F10" s="1815"/>
      <c r="G10" s="1816"/>
    </row>
    <row r="11" spans="2:7" x14ac:dyDescent="0.3">
      <c r="B11" s="863" t="s">
        <v>1209</v>
      </c>
      <c r="C11" s="1814"/>
      <c r="D11" s="1815"/>
      <c r="E11" s="1815"/>
      <c r="F11" s="1815"/>
      <c r="G11" s="1816"/>
    </row>
    <row r="12" spans="2:7" x14ac:dyDescent="0.3">
      <c r="B12" s="864"/>
      <c r="C12" s="1814"/>
      <c r="D12" s="1815"/>
      <c r="E12" s="1815"/>
      <c r="F12" s="1815"/>
      <c r="G12" s="1816"/>
    </row>
    <row r="13" spans="2:7" x14ac:dyDescent="0.3">
      <c r="B13" s="863" t="s">
        <v>1210</v>
      </c>
      <c r="C13" s="1814"/>
      <c r="D13" s="1815"/>
      <c r="E13" s="1815"/>
      <c r="F13" s="1815"/>
      <c r="G13" s="1816"/>
    </row>
    <row r="14" spans="2:7" x14ac:dyDescent="0.3">
      <c r="B14" s="864" t="s">
        <v>1207</v>
      </c>
      <c r="C14" s="1814"/>
      <c r="D14" s="1815"/>
      <c r="E14" s="1815"/>
      <c r="F14" s="1815"/>
      <c r="G14" s="1816"/>
    </row>
    <row r="15" spans="2:7" x14ac:dyDescent="0.3">
      <c r="B15" s="864" t="s">
        <v>1208</v>
      </c>
      <c r="C15" s="1814"/>
      <c r="D15" s="1815"/>
      <c r="E15" s="1815"/>
      <c r="F15" s="1815"/>
      <c r="G15" s="1816"/>
    </row>
    <row r="16" spans="2:7" x14ac:dyDescent="0.3">
      <c r="B16" s="864" t="s">
        <v>1204</v>
      </c>
      <c r="C16" s="1814"/>
      <c r="D16" s="1815"/>
      <c r="E16" s="1815"/>
      <c r="F16" s="1815"/>
      <c r="G16" s="1816"/>
    </row>
    <row r="17" spans="2:7" x14ac:dyDescent="0.3">
      <c r="B17" s="863" t="s">
        <v>1211</v>
      </c>
      <c r="C17" s="1814"/>
      <c r="D17" s="1815"/>
      <c r="E17" s="1815"/>
      <c r="F17" s="1815"/>
      <c r="G17" s="1816"/>
    </row>
    <row r="18" spans="2:7" x14ac:dyDescent="0.3">
      <c r="B18" s="864"/>
      <c r="C18" s="1814"/>
      <c r="D18" s="1815"/>
      <c r="E18" s="1815"/>
      <c r="F18" s="1815"/>
      <c r="G18" s="1816"/>
    </row>
    <row r="19" spans="2:7" x14ac:dyDescent="0.3">
      <c r="B19" s="863" t="s">
        <v>1212</v>
      </c>
      <c r="C19" s="1817"/>
      <c r="D19" s="1818"/>
      <c r="E19" s="1818"/>
      <c r="F19" s="1818"/>
      <c r="G19" s="1819"/>
    </row>
    <row r="21" spans="2:7" x14ac:dyDescent="0.3">
      <c r="B21" s="811" t="s">
        <v>1213</v>
      </c>
    </row>
    <row r="29" spans="2:7" ht="29.4" customHeight="1" x14ac:dyDescent="0.3">
      <c r="C29" s="857"/>
    </row>
  </sheetData>
  <mergeCells count="1">
    <mergeCell ref="C7:G19"/>
  </mergeCells>
  <printOptions horizontalCentered="1"/>
  <pageMargins left="1.14173228346457" right="0.35433070866141703" top="1.0629921259842501" bottom="0.98425196850393704" header="0.31496062992126" footer="0.31496062992126"/>
  <pageSetup paperSize="9" scale="7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V155"/>
  <sheetViews>
    <sheetView showGridLines="0" view="pageBreakPreview" topLeftCell="A4" zoomScale="96" zoomScaleNormal="68" zoomScaleSheetLayoutView="96" workbookViewId="0">
      <selection activeCell="A2" sqref="A2:T2"/>
    </sheetView>
  </sheetViews>
  <sheetFormatPr defaultColWidth="9.08984375" defaultRowHeight="14" x14ac:dyDescent="0.3"/>
  <cols>
    <col min="1" max="1" width="14.54296875" style="868" customWidth="1"/>
    <col min="2" max="2" width="14.453125" style="865" customWidth="1"/>
    <col min="3" max="3" width="58.08984375" style="873" customWidth="1"/>
    <col min="4" max="17" width="15.36328125" style="868" customWidth="1"/>
    <col min="18" max="18" width="16.08984375" style="868" customWidth="1"/>
    <col min="19" max="19" width="15.36328125" style="868" customWidth="1"/>
    <col min="20" max="20" width="15.36328125" style="869" customWidth="1"/>
    <col min="21" max="21" width="15.36328125" style="870" customWidth="1"/>
    <col min="22" max="22" width="19.453125" style="868" customWidth="1"/>
    <col min="23" max="259" width="9.08984375" style="868"/>
    <col min="260" max="260" width="14.54296875" style="868" customWidth="1"/>
    <col min="261" max="261" width="14.453125" style="868" customWidth="1"/>
    <col min="262" max="262" width="58.08984375" style="868" customWidth="1"/>
    <col min="263" max="263" width="30.453125" style="868" customWidth="1"/>
    <col min="264" max="264" width="27.36328125" style="868" customWidth="1"/>
    <col min="265" max="265" width="30.90625" style="868" customWidth="1"/>
    <col min="266" max="266" width="24.90625" style="868" customWidth="1"/>
    <col min="267" max="267" width="27.36328125" style="868" customWidth="1"/>
    <col min="268" max="268" width="32" style="868" customWidth="1"/>
    <col min="269" max="269" width="25.54296875" style="868" customWidth="1"/>
    <col min="270" max="270" width="27.36328125" style="868" customWidth="1"/>
    <col min="271" max="271" width="31.453125" style="868" customWidth="1"/>
    <col min="272" max="272" width="30.54296875" style="868" customWidth="1"/>
    <col min="273" max="273" width="27.36328125" style="868" customWidth="1"/>
    <col min="274" max="274" width="32.54296875" style="868" customWidth="1"/>
    <col min="275" max="275" width="30.453125" style="868" customWidth="1"/>
    <col min="276" max="276" width="24.36328125" style="868" customWidth="1"/>
    <col min="277" max="277" width="28" style="868" customWidth="1"/>
    <col min="278" max="278" width="19.453125" style="868" customWidth="1"/>
    <col min="279" max="515" width="9.08984375" style="868"/>
    <col min="516" max="516" width="14.54296875" style="868" customWidth="1"/>
    <col min="517" max="517" width="14.453125" style="868" customWidth="1"/>
    <col min="518" max="518" width="58.08984375" style="868" customWidth="1"/>
    <col min="519" max="519" width="30.453125" style="868" customWidth="1"/>
    <col min="520" max="520" width="27.36328125" style="868" customWidth="1"/>
    <col min="521" max="521" width="30.90625" style="868" customWidth="1"/>
    <col min="522" max="522" width="24.90625" style="868" customWidth="1"/>
    <col min="523" max="523" width="27.36328125" style="868" customWidth="1"/>
    <col min="524" max="524" width="32" style="868" customWidth="1"/>
    <col min="525" max="525" width="25.54296875" style="868" customWidth="1"/>
    <col min="526" max="526" width="27.36328125" style="868" customWidth="1"/>
    <col min="527" max="527" width="31.453125" style="868" customWidth="1"/>
    <col min="528" max="528" width="30.54296875" style="868" customWidth="1"/>
    <col min="529" max="529" width="27.36328125" style="868" customWidth="1"/>
    <col min="530" max="530" width="32.54296875" style="868" customWidth="1"/>
    <col min="531" max="531" width="30.453125" style="868" customWidth="1"/>
    <col min="532" max="532" width="24.36328125" style="868" customWidth="1"/>
    <col min="533" max="533" width="28" style="868" customWidth="1"/>
    <col min="534" max="534" width="19.453125" style="868" customWidth="1"/>
    <col min="535" max="771" width="9.08984375" style="868"/>
    <col min="772" max="772" width="14.54296875" style="868" customWidth="1"/>
    <col min="773" max="773" width="14.453125" style="868" customWidth="1"/>
    <col min="774" max="774" width="58.08984375" style="868" customWidth="1"/>
    <col min="775" max="775" width="30.453125" style="868" customWidth="1"/>
    <col min="776" max="776" width="27.36328125" style="868" customWidth="1"/>
    <col min="777" max="777" width="30.90625" style="868" customWidth="1"/>
    <col min="778" max="778" width="24.90625" style="868" customWidth="1"/>
    <col min="779" max="779" width="27.36328125" style="868" customWidth="1"/>
    <col min="780" max="780" width="32" style="868" customWidth="1"/>
    <col min="781" max="781" width="25.54296875" style="868" customWidth="1"/>
    <col min="782" max="782" width="27.36328125" style="868" customWidth="1"/>
    <col min="783" max="783" width="31.453125" style="868" customWidth="1"/>
    <col min="784" max="784" width="30.54296875" style="868" customWidth="1"/>
    <col min="785" max="785" width="27.36328125" style="868" customWidth="1"/>
    <col min="786" max="786" width="32.54296875" style="868" customWidth="1"/>
    <col min="787" max="787" width="30.453125" style="868" customWidth="1"/>
    <col min="788" max="788" width="24.36328125" style="868" customWidth="1"/>
    <col min="789" max="789" width="28" style="868" customWidth="1"/>
    <col min="790" max="790" width="19.453125" style="868" customWidth="1"/>
    <col min="791" max="1027" width="9.08984375" style="868"/>
    <col min="1028" max="1028" width="14.54296875" style="868" customWidth="1"/>
    <col min="1029" max="1029" width="14.453125" style="868" customWidth="1"/>
    <col min="1030" max="1030" width="58.08984375" style="868" customWidth="1"/>
    <col min="1031" max="1031" width="30.453125" style="868" customWidth="1"/>
    <col min="1032" max="1032" width="27.36328125" style="868" customWidth="1"/>
    <col min="1033" max="1033" width="30.90625" style="868" customWidth="1"/>
    <col min="1034" max="1034" width="24.90625" style="868" customWidth="1"/>
    <col min="1035" max="1035" width="27.36328125" style="868" customWidth="1"/>
    <col min="1036" max="1036" width="32" style="868" customWidth="1"/>
    <col min="1037" max="1037" width="25.54296875" style="868" customWidth="1"/>
    <col min="1038" max="1038" width="27.36328125" style="868" customWidth="1"/>
    <col min="1039" max="1039" width="31.453125" style="868" customWidth="1"/>
    <col min="1040" max="1040" width="30.54296875" style="868" customWidth="1"/>
    <col min="1041" max="1041" width="27.36328125" style="868" customWidth="1"/>
    <col min="1042" max="1042" width="32.54296875" style="868" customWidth="1"/>
    <col min="1043" max="1043" width="30.453125" style="868" customWidth="1"/>
    <col min="1044" max="1044" width="24.36328125" style="868" customWidth="1"/>
    <col min="1045" max="1045" width="28" style="868" customWidth="1"/>
    <col min="1046" max="1046" width="19.453125" style="868" customWidth="1"/>
    <col min="1047" max="1283" width="9.08984375" style="868"/>
    <col min="1284" max="1284" width="14.54296875" style="868" customWidth="1"/>
    <col min="1285" max="1285" width="14.453125" style="868" customWidth="1"/>
    <col min="1286" max="1286" width="58.08984375" style="868" customWidth="1"/>
    <col min="1287" max="1287" width="30.453125" style="868" customWidth="1"/>
    <col min="1288" max="1288" width="27.36328125" style="868" customWidth="1"/>
    <col min="1289" max="1289" width="30.90625" style="868" customWidth="1"/>
    <col min="1290" max="1290" width="24.90625" style="868" customWidth="1"/>
    <col min="1291" max="1291" width="27.36328125" style="868" customWidth="1"/>
    <col min="1292" max="1292" width="32" style="868" customWidth="1"/>
    <col min="1293" max="1293" width="25.54296875" style="868" customWidth="1"/>
    <col min="1294" max="1294" width="27.36328125" style="868" customWidth="1"/>
    <col min="1295" max="1295" width="31.453125" style="868" customWidth="1"/>
    <col min="1296" max="1296" width="30.54296875" style="868" customWidth="1"/>
    <col min="1297" max="1297" width="27.36328125" style="868" customWidth="1"/>
    <col min="1298" max="1298" width="32.54296875" style="868" customWidth="1"/>
    <col min="1299" max="1299" width="30.453125" style="868" customWidth="1"/>
    <col min="1300" max="1300" width="24.36328125" style="868" customWidth="1"/>
    <col min="1301" max="1301" width="28" style="868" customWidth="1"/>
    <col min="1302" max="1302" width="19.453125" style="868" customWidth="1"/>
    <col min="1303" max="1539" width="9.08984375" style="868"/>
    <col min="1540" max="1540" width="14.54296875" style="868" customWidth="1"/>
    <col min="1541" max="1541" width="14.453125" style="868" customWidth="1"/>
    <col min="1542" max="1542" width="58.08984375" style="868" customWidth="1"/>
    <col min="1543" max="1543" width="30.453125" style="868" customWidth="1"/>
    <col min="1544" max="1544" width="27.36328125" style="868" customWidth="1"/>
    <col min="1545" max="1545" width="30.90625" style="868" customWidth="1"/>
    <col min="1546" max="1546" width="24.90625" style="868" customWidth="1"/>
    <col min="1547" max="1547" width="27.36328125" style="868" customWidth="1"/>
    <col min="1548" max="1548" width="32" style="868" customWidth="1"/>
    <col min="1549" max="1549" width="25.54296875" style="868" customWidth="1"/>
    <col min="1550" max="1550" width="27.36328125" style="868" customWidth="1"/>
    <col min="1551" max="1551" width="31.453125" style="868" customWidth="1"/>
    <col min="1552" max="1552" width="30.54296875" style="868" customWidth="1"/>
    <col min="1553" max="1553" width="27.36328125" style="868" customWidth="1"/>
    <col min="1554" max="1554" width="32.54296875" style="868" customWidth="1"/>
    <col min="1555" max="1555" width="30.453125" style="868" customWidth="1"/>
    <col min="1556" max="1556" width="24.36328125" style="868" customWidth="1"/>
    <col min="1557" max="1557" width="28" style="868" customWidth="1"/>
    <col min="1558" max="1558" width="19.453125" style="868" customWidth="1"/>
    <col min="1559" max="1795" width="9.08984375" style="868"/>
    <col min="1796" max="1796" width="14.54296875" style="868" customWidth="1"/>
    <col min="1797" max="1797" width="14.453125" style="868" customWidth="1"/>
    <col min="1798" max="1798" width="58.08984375" style="868" customWidth="1"/>
    <col min="1799" max="1799" width="30.453125" style="868" customWidth="1"/>
    <col min="1800" max="1800" width="27.36328125" style="868" customWidth="1"/>
    <col min="1801" max="1801" width="30.90625" style="868" customWidth="1"/>
    <col min="1802" max="1802" width="24.90625" style="868" customWidth="1"/>
    <col min="1803" max="1803" width="27.36328125" style="868" customWidth="1"/>
    <col min="1804" max="1804" width="32" style="868" customWidth="1"/>
    <col min="1805" max="1805" width="25.54296875" style="868" customWidth="1"/>
    <col min="1806" max="1806" width="27.36328125" style="868" customWidth="1"/>
    <col min="1807" max="1807" width="31.453125" style="868" customWidth="1"/>
    <col min="1808" max="1808" width="30.54296875" style="868" customWidth="1"/>
    <col min="1809" max="1809" width="27.36328125" style="868" customWidth="1"/>
    <col min="1810" max="1810" width="32.54296875" style="868" customWidth="1"/>
    <col min="1811" max="1811" width="30.453125" style="868" customWidth="1"/>
    <col min="1812" max="1812" width="24.36328125" style="868" customWidth="1"/>
    <col min="1813" max="1813" width="28" style="868" customWidth="1"/>
    <col min="1814" max="1814" width="19.453125" style="868" customWidth="1"/>
    <col min="1815" max="2051" width="9.08984375" style="868"/>
    <col min="2052" max="2052" width="14.54296875" style="868" customWidth="1"/>
    <col min="2053" max="2053" width="14.453125" style="868" customWidth="1"/>
    <col min="2054" max="2054" width="58.08984375" style="868" customWidth="1"/>
    <col min="2055" max="2055" width="30.453125" style="868" customWidth="1"/>
    <col min="2056" max="2056" width="27.36328125" style="868" customWidth="1"/>
    <col min="2057" max="2057" width="30.90625" style="868" customWidth="1"/>
    <col min="2058" max="2058" width="24.90625" style="868" customWidth="1"/>
    <col min="2059" max="2059" width="27.36328125" style="868" customWidth="1"/>
    <col min="2060" max="2060" width="32" style="868" customWidth="1"/>
    <col min="2061" max="2061" width="25.54296875" style="868" customWidth="1"/>
    <col min="2062" max="2062" width="27.36328125" style="868" customWidth="1"/>
    <col min="2063" max="2063" width="31.453125" style="868" customWidth="1"/>
    <col min="2064" max="2064" width="30.54296875" style="868" customWidth="1"/>
    <col min="2065" max="2065" width="27.36328125" style="868" customWidth="1"/>
    <col min="2066" max="2066" width="32.54296875" style="868" customWidth="1"/>
    <col min="2067" max="2067" width="30.453125" style="868" customWidth="1"/>
    <col min="2068" max="2068" width="24.36328125" style="868" customWidth="1"/>
    <col min="2069" max="2069" width="28" style="868" customWidth="1"/>
    <col min="2070" max="2070" width="19.453125" style="868" customWidth="1"/>
    <col min="2071" max="2307" width="9.08984375" style="868"/>
    <col min="2308" max="2308" width="14.54296875" style="868" customWidth="1"/>
    <col min="2309" max="2309" width="14.453125" style="868" customWidth="1"/>
    <col min="2310" max="2310" width="58.08984375" style="868" customWidth="1"/>
    <col min="2311" max="2311" width="30.453125" style="868" customWidth="1"/>
    <col min="2312" max="2312" width="27.36328125" style="868" customWidth="1"/>
    <col min="2313" max="2313" width="30.90625" style="868" customWidth="1"/>
    <col min="2314" max="2314" width="24.90625" style="868" customWidth="1"/>
    <col min="2315" max="2315" width="27.36328125" style="868" customWidth="1"/>
    <col min="2316" max="2316" width="32" style="868" customWidth="1"/>
    <col min="2317" max="2317" width="25.54296875" style="868" customWidth="1"/>
    <col min="2318" max="2318" width="27.36328125" style="868" customWidth="1"/>
    <col min="2319" max="2319" width="31.453125" style="868" customWidth="1"/>
    <col min="2320" max="2320" width="30.54296875" style="868" customWidth="1"/>
    <col min="2321" max="2321" width="27.36328125" style="868" customWidth="1"/>
    <col min="2322" max="2322" width="32.54296875" style="868" customWidth="1"/>
    <col min="2323" max="2323" width="30.453125" style="868" customWidth="1"/>
    <col min="2324" max="2324" width="24.36328125" style="868" customWidth="1"/>
    <col min="2325" max="2325" width="28" style="868" customWidth="1"/>
    <col min="2326" max="2326" width="19.453125" style="868" customWidth="1"/>
    <col min="2327" max="2563" width="9.08984375" style="868"/>
    <col min="2564" max="2564" width="14.54296875" style="868" customWidth="1"/>
    <col min="2565" max="2565" width="14.453125" style="868" customWidth="1"/>
    <col min="2566" max="2566" width="58.08984375" style="868" customWidth="1"/>
    <col min="2567" max="2567" width="30.453125" style="868" customWidth="1"/>
    <col min="2568" max="2568" width="27.36328125" style="868" customWidth="1"/>
    <col min="2569" max="2569" width="30.90625" style="868" customWidth="1"/>
    <col min="2570" max="2570" width="24.90625" style="868" customWidth="1"/>
    <col min="2571" max="2571" width="27.36328125" style="868" customWidth="1"/>
    <col min="2572" max="2572" width="32" style="868" customWidth="1"/>
    <col min="2573" max="2573" width="25.54296875" style="868" customWidth="1"/>
    <col min="2574" max="2574" width="27.36328125" style="868" customWidth="1"/>
    <col min="2575" max="2575" width="31.453125" style="868" customWidth="1"/>
    <col min="2576" max="2576" width="30.54296875" style="868" customWidth="1"/>
    <col min="2577" max="2577" width="27.36328125" style="868" customWidth="1"/>
    <col min="2578" max="2578" width="32.54296875" style="868" customWidth="1"/>
    <col min="2579" max="2579" width="30.453125" style="868" customWidth="1"/>
    <col min="2580" max="2580" width="24.36328125" style="868" customWidth="1"/>
    <col min="2581" max="2581" width="28" style="868" customWidth="1"/>
    <col min="2582" max="2582" width="19.453125" style="868" customWidth="1"/>
    <col min="2583" max="2819" width="9.08984375" style="868"/>
    <col min="2820" max="2820" width="14.54296875" style="868" customWidth="1"/>
    <col min="2821" max="2821" width="14.453125" style="868" customWidth="1"/>
    <col min="2822" max="2822" width="58.08984375" style="868" customWidth="1"/>
    <col min="2823" max="2823" width="30.453125" style="868" customWidth="1"/>
    <col min="2824" max="2824" width="27.36328125" style="868" customWidth="1"/>
    <col min="2825" max="2825" width="30.90625" style="868" customWidth="1"/>
    <col min="2826" max="2826" width="24.90625" style="868" customWidth="1"/>
    <col min="2827" max="2827" width="27.36328125" style="868" customWidth="1"/>
    <col min="2828" max="2828" width="32" style="868" customWidth="1"/>
    <col min="2829" max="2829" width="25.54296875" style="868" customWidth="1"/>
    <col min="2830" max="2830" width="27.36328125" style="868" customWidth="1"/>
    <col min="2831" max="2831" width="31.453125" style="868" customWidth="1"/>
    <col min="2832" max="2832" width="30.54296875" style="868" customWidth="1"/>
    <col min="2833" max="2833" width="27.36328125" style="868" customWidth="1"/>
    <col min="2834" max="2834" width="32.54296875" style="868" customWidth="1"/>
    <col min="2835" max="2835" width="30.453125" style="868" customWidth="1"/>
    <col min="2836" max="2836" width="24.36328125" style="868" customWidth="1"/>
    <col min="2837" max="2837" width="28" style="868" customWidth="1"/>
    <col min="2838" max="2838" width="19.453125" style="868" customWidth="1"/>
    <col min="2839" max="3075" width="9.08984375" style="868"/>
    <col min="3076" max="3076" width="14.54296875" style="868" customWidth="1"/>
    <col min="3077" max="3077" width="14.453125" style="868" customWidth="1"/>
    <col min="3078" max="3078" width="58.08984375" style="868" customWidth="1"/>
    <col min="3079" max="3079" width="30.453125" style="868" customWidth="1"/>
    <col min="3080" max="3080" width="27.36328125" style="868" customWidth="1"/>
    <col min="3081" max="3081" width="30.90625" style="868" customWidth="1"/>
    <col min="3082" max="3082" width="24.90625" style="868" customWidth="1"/>
    <col min="3083" max="3083" width="27.36328125" style="868" customWidth="1"/>
    <col min="3084" max="3084" width="32" style="868" customWidth="1"/>
    <col min="3085" max="3085" width="25.54296875" style="868" customWidth="1"/>
    <col min="3086" max="3086" width="27.36328125" style="868" customWidth="1"/>
    <col min="3087" max="3087" width="31.453125" style="868" customWidth="1"/>
    <col min="3088" max="3088" width="30.54296875" style="868" customWidth="1"/>
    <col min="3089" max="3089" width="27.36328125" style="868" customWidth="1"/>
    <col min="3090" max="3090" width="32.54296875" style="868" customWidth="1"/>
    <col min="3091" max="3091" width="30.453125" style="868" customWidth="1"/>
    <col min="3092" max="3092" width="24.36328125" style="868" customWidth="1"/>
    <col min="3093" max="3093" width="28" style="868" customWidth="1"/>
    <col min="3094" max="3094" width="19.453125" style="868" customWidth="1"/>
    <col min="3095" max="3331" width="9.08984375" style="868"/>
    <col min="3332" max="3332" width="14.54296875" style="868" customWidth="1"/>
    <col min="3333" max="3333" width="14.453125" style="868" customWidth="1"/>
    <col min="3334" max="3334" width="58.08984375" style="868" customWidth="1"/>
    <col min="3335" max="3335" width="30.453125" style="868" customWidth="1"/>
    <col min="3336" max="3336" width="27.36328125" style="868" customWidth="1"/>
    <col min="3337" max="3337" width="30.90625" style="868" customWidth="1"/>
    <col min="3338" max="3338" width="24.90625" style="868" customWidth="1"/>
    <col min="3339" max="3339" width="27.36328125" style="868" customWidth="1"/>
    <col min="3340" max="3340" width="32" style="868" customWidth="1"/>
    <col min="3341" max="3341" width="25.54296875" style="868" customWidth="1"/>
    <col min="3342" max="3342" width="27.36328125" style="868" customWidth="1"/>
    <col min="3343" max="3343" width="31.453125" style="868" customWidth="1"/>
    <col min="3344" max="3344" width="30.54296875" style="868" customWidth="1"/>
    <col min="3345" max="3345" width="27.36328125" style="868" customWidth="1"/>
    <col min="3346" max="3346" width="32.54296875" style="868" customWidth="1"/>
    <col min="3347" max="3347" width="30.453125" style="868" customWidth="1"/>
    <col min="3348" max="3348" width="24.36328125" style="868" customWidth="1"/>
    <col min="3349" max="3349" width="28" style="868" customWidth="1"/>
    <col min="3350" max="3350" width="19.453125" style="868" customWidth="1"/>
    <col min="3351" max="3587" width="9.08984375" style="868"/>
    <col min="3588" max="3588" width="14.54296875" style="868" customWidth="1"/>
    <col min="3589" max="3589" width="14.453125" style="868" customWidth="1"/>
    <col min="3590" max="3590" width="58.08984375" style="868" customWidth="1"/>
    <col min="3591" max="3591" width="30.453125" style="868" customWidth="1"/>
    <col min="3592" max="3592" width="27.36328125" style="868" customWidth="1"/>
    <col min="3593" max="3593" width="30.90625" style="868" customWidth="1"/>
    <col min="3594" max="3594" width="24.90625" style="868" customWidth="1"/>
    <col min="3595" max="3595" width="27.36328125" style="868" customWidth="1"/>
    <col min="3596" max="3596" width="32" style="868" customWidth="1"/>
    <col min="3597" max="3597" width="25.54296875" style="868" customWidth="1"/>
    <col min="3598" max="3598" width="27.36328125" style="868" customWidth="1"/>
    <col min="3599" max="3599" width="31.453125" style="868" customWidth="1"/>
    <col min="3600" max="3600" width="30.54296875" style="868" customWidth="1"/>
    <col min="3601" max="3601" width="27.36328125" style="868" customWidth="1"/>
    <col min="3602" max="3602" width="32.54296875" style="868" customWidth="1"/>
    <col min="3603" max="3603" width="30.453125" style="868" customWidth="1"/>
    <col min="3604" max="3604" width="24.36328125" style="868" customWidth="1"/>
    <col min="3605" max="3605" width="28" style="868" customWidth="1"/>
    <col min="3606" max="3606" width="19.453125" style="868" customWidth="1"/>
    <col min="3607" max="3843" width="9.08984375" style="868"/>
    <col min="3844" max="3844" width="14.54296875" style="868" customWidth="1"/>
    <col min="3845" max="3845" width="14.453125" style="868" customWidth="1"/>
    <col min="3846" max="3846" width="58.08984375" style="868" customWidth="1"/>
    <col min="3847" max="3847" width="30.453125" style="868" customWidth="1"/>
    <col min="3848" max="3848" width="27.36328125" style="868" customWidth="1"/>
    <col min="3849" max="3849" width="30.90625" style="868" customWidth="1"/>
    <col min="3850" max="3850" width="24.90625" style="868" customWidth="1"/>
    <col min="3851" max="3851" width="27.36328125" style="868" customWidth="1"/>
    <col min="3852" max="3852" width="32" style="868" customWidth="1"/>
    <col min="3853" max="3853" width="25.54296875" style="868" customWidth="1"/>
    <col min="3854" max="3854" width="27.36328125" style="868" customWidth="1"/>
    <col min="3855" max="3855" width="31.453125" style="868" customWidth="1"/>
    <col min="3856" max="3856" width="30.54296875" style="868" customWidth="1"/>
    <col min="3857" max="3857" width="27.36328125" style="868" customWidth="1"/>
    <col min="3858" max="3858" width="32.54296875" style="868" customWidth="1"/>
    <col min="3859" max="3859" width="30.453125" style="868" customWidth="1"/>
    <col min="3860" max="3860" width="24.36328125" style="868" customWidth="1"/>
    <col min="3861" max="3861" width="28" style="868" customWidth="1"/>
    <col min="3862" max="3862" width="19.453125" style="868" customWidth="1"/>
    <col min="3863" max="4099" width="9.08984375" style="868"/>
    <col min="4100" max="4100" width="14.54296875" style="868" customWidth="1"/>
    <col min="4101" max="4101" width="14.453125" style="868" customWidth="1"/>
    <col min="4102" max="4102" width="58.08984375" style="868" customWidth="1"/>
    <col min="4103" max="4103" width="30.453125" style="868" customWidth="1"/>
    <col min="4104" max="4104" width="27.36328125" style="868" customWidth="1"/>
    <col min="4105" max="4105" width="30.90625" style="868" customWidth="1"/>
    <col min="4106" max="4106" width="24.90625" style="868" customWidth="1"/>
    <col min="4107" max="4107" width="27.36328125" style="868" customWidth="1"/>
    <col min="4108" max="4108" width="32" style="868" customWidth="1"/>
    <col min="4109" max="4109" width="25.54296875" style="868" customWidth="1"/>
    <col min="4110" max="4110" width="27.36328125" style="868" customWidth="1"/>
    <col min="4111" max="4111" width="31.453125" style="868" customWidth="1"/>
    <col min="4112" max="4112" width="30.54296875" style="868" customWidth="1"/>
    <col min="4113" max="4113" width="27.36328125" style="868" customWidth="1"/>
    <col min="4114" max="4114" width="32.54296875" style="868" customWidth="1"/>
    <col min="4115" max="4115" width="30.453125" style="868" customWidth="1"/>
    <col min="4116" max="4116" width="24.36328125" style="868" customWidth="1"/>
    <col min="4117" max="4117" width="28" style="868" customWidth="1"/>
    <col min="4118" max="4118" width="19.453125" style="868" customWidth="1"/>
    <col min="4119" max="4355" width="9.08984375" style="868"/>
    <col min="4356" max="4356" width="14.54296875" style="868" customWidth="1"/>
    <col min="4357" max="4357" width="14.453125" style="868" customWidth="1"/>
    <col min="4358" max="4358" width="58.08984375" style="868" customWidth="1"/>
    <col min="4359" max="4359" width="30.453125" style="868" customWidth="1"/>
    <col min="4360" max="4360" width="27.36328125" style="868" customWidth="1"/>
    <col min="4361" max="4361" width="30.90625" style="868" customWidth="1"/>
    <col min="4362" max="4362" width="24.90625" style="868" customWidth="1"/>
    <col min="4363" max="4363" width="27.36328125" style="868" customWidth="1"/>
    <col min="4364" max="4364" width="32" style="868" customWidth="1"/>
    <col min="4365" max="4365" width="25.54296875" style="868" customWidth="1"/>
    <col min="4366" max="4366" width="27.36328125" style="868" customWidth="1"/>
    <col min="4367" max="4367" width="31.453125" style="868" customWidth="1"/>
    <col min="4368" max="4368" width="30.54296875" style="868" customWidth="1"/>
    <col min="4369" max="4369" width="27.36328125" style="868" customWidth="1"/>
    <col min="4370" max="4370" width="32.54296875" style="868" customWidth="1"/>
    <col min="4371" max="4371" width="30.453125" style="868" customWidth="1"/>
    <col min="4372" max="4372" width="24.36328125" style="868" customWidth="1"/>
    <col min="4373" max="4373" width="28" style="868" customWidth="1"/>
    <col min="4374" max="4374" width="19.453125" style="868" customWidth="1"/>
    <col min="4375" max="4611" width="9.08984375" style="868"/>
    <col min="4612" max="4612" width="14.54296875" style="868" customWidth="1"/>
    <col min="4613" max="4613" width="14.453125" style="868" customWidth="1"/>
    <col min="4614" max="4614" width="58.08984375" style="868" customWidth="1"/>
    <col min="4615" max="4615" width="30.453125" style="868" customWidth="1"/>
    <col min="4616" max="4616" width="27.36328125" style="868" customWidth="1"/>
    <col min="4617" max="4617" width="30.90625" style="868" customWidth="1"/>
    <col min="4618" max="4618" width="24.90625" style="868" customWidth="1"/>
    <col min="4619" max="4619" width="27.36328125" style="868" customWidth="1"/>
    <col min="4620" max="4620" width="32" style="868" customWidth="1"/>
    <col min="4621" max="4621" width="25.54296875" style="868" customWidth="1"/>
    <col min="4622" max="4622" width="27.36328125" style="868" customWidth="1"/>
    <col min="4623" max="4623" width="31.453125" style="868" customWidth="1"/>
    <col min="4624" max="4624" width="30.54296875" style="868" customWidth="1"/>
    <col min="4625" max="4625" width="27.36328125" style="868" customWidth="1"/>
    <col min="4626" max="4626" width="32.54296875" style="868" customWidth="1"/>
    <col min="4627" max="4627" width="30.453125" style="868" customWidth="1"/>
    <col min="4628" max="4628" width="24.36328125" style="868" customWidth="1"/>
    <col min="4629" max="4629" width="28" style="868" customWidth="1"/>
    <col min="4630" max="4630" width="19.453125" style="868" customWidth="1"/>
    <col min="4631" max="4867" width="9.08984375" style="868"/>
    <col min="4868" max="4868" width="14.54296875" style="868" customWidth="1"/>
    <col min="4869" max="4869" width="14.453125" style="868" customWidth="1"/>
    <col min="4870" max="4870" width="58.08984375" style="868" customWidth="1"/>
    <col min="4871" max="4871" width="30.453125" style="868" customWidth="1"/>
    <col min="4872" max="4872" width="27.36328125" style="868" customWidth="1"/>
    <col min="4873" max="4873" width="30.90625" style="868" customWidth="1"/>
    <col min="4874" max="4874" width="24.90625" style="868" customWidth="1"/>
    <col min="4875" max="4875" width="27.36328125" style="868" customWidth="1"/>
    <col min="4876" max="4876" width="32" style="868" customWidth="1"/>
    <col min="4877" max="4877" width="25.54296875" style="868" customWidth="1"/>
    <col min="4878" max="4878" width="27.36328125" style="868" customWidth="1"/>
    <col min="4879" max="4879" width="31.453125" style="868" customWidth="1"/>
    <col min="4880" max="4880" width="30.54296875" style="868" customWidth="1"/>
    <col min="4881" max="4881" width="27.36328125" style="868" customWidth="1"/>
    <col min="4882" max="4882" width="32.54296875" style="868" customWidth="1"/>
    <col min="4883" max="4883" width="30.453125" style="868" customWidth="1"/>
    <col min="4884" max="4884" width="24.36328125" style="868" customWidth="1"/>
    <col min="4885" max="4885" width="28" style="868" customWidth="1"/>
    <col min="4886" max="4886" width="19.453125" style="868" customWidth="1"/>
    <col min="4887" max="5123" width="9.08984375" style="868"/>
    <col min="5124" max="5124" width="14.54296875" style="868" customWidth="1"/>
    <col min="5125" max="5125" width="14.453125" style="868" customWidth="1"/>
    <col min="5126" max="5126" width="58.08984375" style="868" customWidth="1"/>
    <col min="5127" max="5127" width="30.453125" style="868" customWidth="1"/>
    <col min="5128" max="5128" width="27.36328125" style="868" customWidth="1"/>
    <col min="5129" max="5129" width="30.90625" style="868" customWidth="1"/>
    <col min="5130" max="5130" width="24.90625" style="868" customWidth="1"/>
    <col min="5131" max="5131" width="27.36328125" style="868" customWidth="1"/>
    <col min="5132" max="5132" width="32" style="868" customWidth="1"/>
    <col min="5133" max="5133" width="25.54296875" style="868" customWidth="1"/>
    <col min="5134" max="5134" width="27.36328125" style="868" customWidth="1"/>
    <col min="5135" max="5135" width="31.453125" style="868" customWidth="1"/>
    <col min="5136" max="5136" width="30.54296875" style="868" customWidth="1"/>
    <col min="5137" max="5137" width="27.36328125" style="868" customWidth="1"/>
    <col min="5138" max="5138" width="32.54296875" style="868" customWidth="1"/>
    <col min="5139" max="5139" width="30.453125" style="868" customWidth="1"/>
    <col min="5140" max="5140" width="24.36328125" style="868" customWidth="1"/>
    <col min="5141" max="5141" width="28" style="868" customWidth="1"/>
    <col min="5142" max="5142" width="19.453125" style="868" customWidth="1"/>
    <col min="5143" max="5379" width="9.08984375" style="868"/>
    <col min="5380" max="5380" width="14.54296875" style="868" customWidth="1"/>
    <col min="5381" max="5381" width="14.453125" style="868" customWidth="1"/>
    <col min="5382" max="5382" width="58.08984375" style="868" customWidth="1"/>
    <col min="5383" max="5383" width="30.453125" style="868" customWidth="1"/>
    <col min="5384" max="5384" width="27.36328125" style="868" customWidth="1"/>
    <col min="5385" max="5385" width="30.90625" style="868" customWidth="1"/>
    <col min="5386" max="5386" width="24.90625" style="868" customWidth="1"/>
    <col min="5387" max="5387" width="27.36328125" style="868" customWidth="1"/>
    <col min="5388" max="5388" width="32" style="868" customWidth="1"/>
    <col min="5389" max="5389" width="25.54296875" style="868" customWidth="1"/>
    <col min="5390" max="5390" width="27.36328125" style="868" customWidth="1"/>
    <col min="5391" max="5391" width="31.453125" style="868" customWidth="1"/>
    <col min="5392" max="5392" width="30.54296875" style="868" customWidth="1"/>
    <col min="5393" max="5393" width="27.36328125" style="868" customWidth="1"/>
    <col min="5394" max="5394" width="32.54296875" style="868" customWidth="1"/>
    <col min="5395" max="5395" width="30.453125" style="868" customWidth="1"/>
    <col min="5396" max="5396" width="24.36328125" style="868" customWidth="1"/>
    <col min="5397" max="5397" width="28" style="868" customWidth="1"/>
    <col min="5398" max="5398" width="19.453125" style="868" customWidth="1"/>
    <col min="5399" max="5635" width="9.08984375" style="868"/>
    <col min="5636" max="5636" width="14.54296875" style="868" customWidth="1"/>
    <col min="5637" max="5637" width="14.453125" style="868" customWidth="1"/>
    <col min="5638" max="5638" width="58.08984375" style="868" customWidth="1"/>
    <col min="5639" max="5639" width="30.453125" style="868" customWidth="1"/>
    <col min="5640" max="5640" width="27.36328125" style="868" customWidth="1"/>
    <col min="5641" max="5641" width="30.90625" style="868" customWidth="1"/>
    <col min="5642" max="5642" width="24.90625" style="868" customWidth="1"/>
    <col min="5643" max="5643" width="27.36328125" style="868" customWidth="1"/>
    <col min="5644" max="5644" width="32" style="868" customWidth="1"/>
    <col min="5645" max="5645" width="25.54296875" style="868" customWidth="1"/>
    <col min="5646" max="5646" width="27.36328125" style="868" customWidth="1"/>
    <col min="5647" max="5647" width="31.453125" style="868" customWidth="1"/>
    <col min="5648" max="5648" width="30.54296875" style="868" customWidth="1"/>
    <col min="5649" max="5649" width="27.36328125" style="868" customWidth="1"/>
    <col min="5650" max="5650" width="32.54296875" style="868" customWidth="1"/>
    <col min="5651" max="5651" width="30.453125" style="868" customWidth="1"/>
    <col min="5652" max="5652" width="24.36328125" style="868" customWidth="1"/>
    <col min="5653" max="5653" width="28" style="868" customWidth="1"/>
    <col min="5654" max="5654" width="19.453125" style="868" customWidth="1"/>
    <col min="5655" max="5891" width="9.08984375" style="868"/>
    <col min="5892" max="5892" width="14.54296875" style="868" customWidth="1"/>
    <col min="5893" max="5893" width="14.453125" style="868" customWidth="1"/>
    <col min="5894" max="5894" width="58.08984375" style="868" customWidth="1"/>
    <col min="5895" max="5895" width="30.453125" style="868" customWidth="1"/>
    <col min="5896" max="5896" width="27.36328125" style="868" customWidth="1"/>
    <col min="5897" max="5897" width="30.90625" style="868" customWidth="1"/>
    <col min="5898" max="5898" width="24.90625" style="868" customWidth="1"/>
    <col min="5899" max="5899" width="27.36328125" style="868" customWidth="1"/>
    <col min="5900" max="5900" width="32" style="868" customWidth="1"/>
    <col min="5901" max="5901" width="25.54296875" style="868" customWidth="1"/>
    <col min="5902" max="5902" width="27.36328125" style="868" customWidth="1"/>
    <col min="5903" max="5903" width="31.453125" style="868" customWidth="1"/>
    <col min="5904" max="5904" width="30.54296875" style="868" customWidth="1"/>
    <col min="5905" max="5905" width="27.36328125" style="868" customWidth="1"/>
    <col min="5906" max="5906" width="32.54296875" style="868" customWidth="1"/>
    <col min="5907" max="5907" width="30.453125" style="868" customWidth="1"/>
    <col min="5908" max="5908" width="24.36328125" style="868" customWidth="1"/>
    <col min="5909" max="5909" width="28" style="868" customWidth="1"/>
    <col min="5910" max="5910" width="19.453125" style="868" customWidth="1"/>
    <col min="5911" max="6147" width="9.08984375" style="868"/>
    <col min="6148" max="6148" width="14.54296875" style="868" customWidth="1"/>
    <col min="6149" max="6149" width="14.453125" style="868" customWidth="1"/>
    <col min="6150" max="6150" width="58.08984375" style="868" customWidth="1"/>
    <col min="6151" max="6151" width="30.453125" style="868" customWidth="1"/>
    <col min="6152" max="6152" width="27.36328125" style="868" customWidth="1"/>
    <col min="6153" max="6153" width="30.90625" style="868" customWidth="1"/>
    <col min="6154" max="6154" width="24.90625" style="868" customWidth="1"/>
    <col min="6155" max="6155" width="27.36328125" style="868" customWidth="1"/>
    <col min="6156" max="6156" width="32" style="868" customWidth="1"/>
    <col min="6157" max="6157" width="25.54296875" style="868" customWidth="1"/>
    <col min="6158" max="6158" width="27.36328125" style="868" customWidth="1"/>
    <col min="6159" max="6159" width="31.453125" style="868" customWidth="1"/>
    <col min="6160" max="6160" width="30.54296875" style="868" customWidth="1"/>
    <col min="6161" max="6161" width="27.36328125" style="868" customWidth="1"/>
    <col min="6162" max="6162" width="32.54296875" style="868" customWidth="1"/>
    <col min="6163" max="6163" width="30.453125" style="868" customWidth="1"/>
    <col min="6164" max="6164" width="24.36328125" style="868" customWidth="1"/>
    <col min="6165" max="6165" width="28" style="868" customWidth="1"/>
    <col min="6166" max="6166" width="19.453125" style="868" customWidth="1"/>
    <col min="6167" max="6403" width="9.08984375" style="868"/>
    <col min="6404" max="6404" width="14.54296875" style="868" customWidth="1"/>
    <col min="6405" max="6405" width="14.453125" style="868" customWidth="1"/>
    <col min="6406" max="6406" width="58.08984375" style="868" customWidth="1"/>
    <col min="6407" max="6407" width="30.453125" style="868" customWidth="1"/>
    <col min="6408" max="6408" width="27.36328125" style="868" customWidth="1"/>
    <col min="6409" max="6409" width="30.90625" style="868" customWidth="1"/>
    <col min="6410" max="6410" width="24.90625" style="868" customWidth="1"/>
    <col min="6411" max="6411" width="27.36328125" style="868" customWidth="1"/>
    <col min="6412" max="6412" width="32" style="868" customWidth="1"/>
    <col min="6413" max="6413" width="25.54296875" style="868" customWidth="1"/>
    <col min="6414" max="6414" width="27.36328125" style="868" customWidth="1"/>
    <col min="6415" max="6415" width="31.453125" style="868" customWidth="1"/>
    <col min="6416" max="6416" width="30.54296875" style="868" customWidth="1"/>
    <col min="6417" max="6417" width="27.36328125" style="868" customWidth="1"/>
    <col min="6418" max="6418" width="32.54296875" style="868" customWidth="1"/>
    <col min="6419" max="6419" width="30.453125" style="868" customWidth="1"/>
    <col min="6420" max="6420" width="24.36328125" style="868" customWidth="1"/>
    <col min="6421" max="6421" width="28" style="868" customWidth="1"/>
    <col min="6422" max="6422" width="19.453125" style="868" customWidth="1"/>
    <col min="6423" max="6659" width="9.08984375" style="868"/>
    <col min="6660" max="6660" width="14.54296875" style="868" customWidth="1"/>
    <col min="6661" max="6661" width="14.453125" style="868" customWidth="1"/>
    <col min="6662" max="6662" width="58.08984375" style="868" customWidth="1"/>
    <col min="6663" max="6663" width="30.453125" style="868" customWidth="1"/>
    <col min="6664" max="6664" width="27.36328125" style="868" customWidth="1"/>
    <col min="6665" max="6665" width="30.90625" style="868" customWidth="1"/>
    <col min="6666" max="6666" width="24.90625" style="868" customWidth="1"/>
    <col min="6667" max="6667" width="27.36328125" style="868" customWidth="1"/>
    <col min="6668" max="6668" width="32" style="868" customWidth="1"/>
    <col min="6669" max="6669" width="25.54296875" style="868" customWidth="1"/>
    <col min="6670" max="6670" width="27.36328125" style="868" customWidth="1"/>
    <col min="6671" max="6671" width="31.453125" style="868" customWidth="1"/>
    <col min="6672" max="6672" width="30.54296875" style="868" customWidth="1"/>
    <col min="6673" max="6673" width="27.36328125" style="868" customWidth="1"/>
    <col min="6674" max="6674" width="32.54296875" style="868" customWidth="1"/>
    <col min="6675" max="6675" width="30.453125" style="868" customWidth="1"/>
    <col min="6676" max="6676" width="24.36328125" style="868" customWidth="1"/>
    <col min="6677" max="6677" width="28" style="868" customWidth="1"/>
    <col min="6678" max="6678" width="19.453125" style="868" customWidth="1"/>
    <col min="6679" max="6915" width="9.08984375" style="868"/>
    <col min="6916" max="6916" width="14.54296875" style="868" customWidth="1"/>
    <col min="6917" max="6917" width="14.453125" style="868" customWidth="1"/>
    <col min="6918" max="6918" width="58.08984375" style="868" customWidth="1"/>
    <col min="6919" max="6919" width="30.453125" style="868" customWidth="1"/>
    <col min="6920" max="6920" width="27.36328125" style="868" customWidth="1"/>
    <col min="6921" max="6921" width="30.90625" style="868" customWidth="1"/>
    <col min="6922" max="6922" width="24.90625" style="868" customWidth="1"/>
    <col min="6923" max="6923" width="27.36328125" style="868" customWidth="1"/>
    <col min="6924" max="6924" width="32" style="868" customWidth="1"/>
    <col min="6925" max="6925" width="25.54296875" style="868" customWidth="1"/>
    <col min="6926" max="6926" width="27.36328125" style="868" customWidth="1"/>
    <col min="6927" max="6927" width="31.453125" style="868" customWidth="1"/>
    <col min="6928" max="6928" width="30.54296875" style="868" customWidth="1"/>
    <col min="6929" max="6929" width="27.36328125" style="868" customWidth="1"/>
    <col min="6930" max="6930" width="32.54296875" style="868" customWidth="1"/>
    <col min="6931" max="6931" width="30.453125" style="868" customWidth="1"/>
    <col min="6932" max="6932" width="24.36328125" style="868" customWidth="1"/>
    <col min="6933" max="6933" width="28" style="868" customWidth="1"/>
    <col min="6934" max="6934" width="19.453125" style="868" customWidth="1"/>
    <col min="6935" max="7171" width="9.08984375" style="868"/>
    <col min="7172" max="7172" width="14.54296875" style="868" customWidth="1"/>
    <col min="7173" max="7173" width="14.453125" style="868" customWidth="1"/>
    <col min="7174" max="7174" width="58.08984375" style="868" customWidth="1"/>
    <col min="7175" max="7175" width="30.453125" style="868" customWidth="1"/>
    <col min="7176" max="7176" width="27.36328125" style="868" customWidth="1"/>
    <col min="7177" max="7177" width="30.90625" style="868" customWidth="1"/>
    <col min="7178" max="7178" width="24.90625" style="868" customWidth="1"/>
    <col min="7179" max="7179" width="27.36328125" style="868" customWidth="1"/>
    <col min="7180" max="7180" width="32" style="868" customWidth="1"/>
    <col min="7181" max="7181" width="25.54296875" style="868" customWidth="1"/>
    <col min="7182" max="7182" width="27.36328125" style="868" customWidth="1"/>
    <col min="7183" max="7183" width="31.453125" style="868" customWidth="1"/>
    <col min="7184" max="7184" width="30.54296875" style="868" customWidth="1"/>
    <col min="7185" max="7185" width="27.36328125" style="868" customWidth="1"/>
    <col min="7186" max="7186" width="32.54296875" style="868" customWidth="1"/>
    <col min="7187" max="7187" width="30.453125" style="868" customWidth="1"/>
    <col min="7188" max="7188" width="24.36328125" style="868" customWidth="1"/>
    <col min="7189" max="7189" width="28" style="868" customWidth="1"/>
    <col min="7190" max="7190" width="19.453125" style="868" customWidth="1"/>
    <col min="7191" max="7427" width="9.08984375" style="868"/>
    <col min="7428" max="7428" width="14.54296875" style="868" customWidth="1"/>
    <col min="7429" max="7429" width="14.453125" style="868" customWidth="1"/>
    <col min="7430" max="7430" width="58.08984375" style="868" customWidth="1"/>
    <col min="7431" max="7431" width="30.453125" style="868" customWidth="1"/>
    <col min="7432" max="7432" width="27.36328125" style="868" customWidth="1"/>
    <col min="7433" max="7433" width="30.90625" style="868" customWidth="1"/>
    <col min="7434" max="7434" width="24.90625" style="868" customWidth="1"/>
    <col min="7435" max="7435" width="27.36328125" style="868" customWidth="1"/>
    <col min="7436" max="7436" width="32" style="868" customWidth="1"/>
    <col min="7437" max="7437" width="25.54296875" style="868" customWidth="1"/>
    <col min="7438" max="7438" width="27.36328125" style="868" customWidth="1"/>
    <col min="7439" max="7439" width="31.453125" style="868" customWidth="1"/>
    <col min="7440" max="7440" width="30.54296875" style="868" customWidth="1"/>
    <col min="7441" max="7441" width="27.36328125" style="868" customWidth="1"/>
    <col min="7442" max="7442" width="32.54296875" style="868" customWidth="1"/>
    <col min="7443" max="7443" width="30.453125" style="868" customWidth="1"/>
    <col min="7444" max="7444" width="24.36328125" style="868" customWidth="1"/>
    <col min="7445" max="7445" width="28" style="868" customWidth="1"/>
    <col min="7446" max="7446" width="19.453125" style="868" customWidth="1"/>
    <col min="7447" max="7683" width="9.08984375" style="868"/>
    <col min="7684" max="7684" width="14.54296875" style="868" customWidth="1"/>
    <col min="7685" max="7685" width="14.453125" style="868" customWidth="1"/>
    <col min="7686" max="7686" width="58.08984375" style="868" customWidth="1"/>
    <col min="7687" max="7687" width="30.453125" style="868" customWidth="1"/>
    <col min="7688" max="7688" width="27.36328125" style="868" customWidth="1"/>
    <col min="7689" max="7689" width="30.90625" style="868" customWidth="1"/>
    <col min="7690" max="7690" width="24.90625" style="868" customWidth="1"/>
    <col min="7691" max="7691" width="27.36328125" style="868" customWidth="1"/>
    <col min="7692" max="7692" width="32" style="868" customWidth="1"/>
    <col min="7693" max="7693" width="25.54296875" style="868" customWidth="1"/>
    <col min="7694" max="7694" width="27.36328125" style="868" customWidth="1"/>
    <col min="7695" max="7695" width="31.453125" style="868" customWidth="1"/>
    <col min="7696" max="7696" width="30.54296875" style="868" customWidth="1"/>
    <col min="7697" max="7697" width="27.36328125" style="868" customWidth="1"/>
    <col min="7698" max="7698" width="32.54296875" style="868" customWidth="1"/>
    <col min="7699" max="7699" width="30.453125" style="868" customWidth="1"/>
    <col min="7700" max="7700" width="24.36328125" style="868" customWidth="1"/>
    <col min="7701" max="7701" width="28" style="868" customWidth="1"/>
    <col min="7702" max="7702" width="19.453125" style="868" customWidth="1"/>
    <col min="7703" max="7939" width="9.08984375" style="868"/>
    <col min="7940" max="7940" width="14.54296875" style="868" customWidth="1"/>
    <col min="7941" max="7941" width="14.453125" style="868" customWidth="1"/>
    <col min="7942" max="7942" width="58.08984375" style="868" customWidth="1"/>
    <col min="7943" max="7943" width="30.453125" style="868" customWidth="1"/>
    <col min="7944" max="7944" width="27.36328125" style="868" customWidth="1"/>
    <col min="7945" max="7945" width="30.90625" style="868" customWidth="1"/>
    <col min="7946" max="7946" width="24.90625" style="868" customWidth="1"/>
    <col min="7947" max="7947" width="27.36328125" style="868" customWidth="1"/>
    <col min="7948" max="7948" width="32" style="868" customWidth="1"/>
    <col min="7949" max="7949" width="25.54296875" style="868" customWidth="1"/>
    <col min="7950" max="7950" width="27.36328125" style="868" customWidth="1"/>
    <col min="7951" max="7951" width="31.453125" style="868" customWidth="1"/>
    <col min="7952" max="7952" width="30.54296875" style="868" customWidth="1"/>
    <col min="7953" max="7953" width="27.36328125" style="868" customWidth="1"/>
    <col min="7954" max="7954" width="32.54296875" style="868" customWidth="1"/>
    <col min="7955" max="7955" width="30.453125" style="868" customWidth="1"/>
    <col min="7956" max="7956" width="24.36328125" style="868" customWidth="1"/>
    <col min="7957" max="7957" width="28" style="868" customWidth="1"/>
    <col min="7958" max="7958" width="19.453125" style="868" customWidth="1"/>
    <col min="7959" max="8195" width="9.08984375" style="868"/>
    <col min="8196" max="8196" width="14.54296875" style="868" customWidth="1"/>
    <col min="8197" max="8197" width="14.453125" style="868" customWidth="1"/>
    <col min="8198" max="8198" width="58.08984375" style="868" customWidth="1"/>
    <col min="8199" max="8199" width="30.453125" style="868" customWidth="1"/>
    <col min="8200" max="8200" width="27.36328125" style="868" customWidth="1"/>
    <col min="8201" max="8201" width="30.90625" style="868" customWidth="1"/>
    <col min="8202" max="8202" width="24.90625" style="868" customWidth="1"/>
    <col min="8203" max="8203" width="27.36328125" style="868" customWidth="1"/>
    <col min="8204" max="8204" width="32" style="868" customWidth="1"/>
    <col min="8205" max="8205" width="25.54296875" style="868" customWidth="1"/>
    <col min="8206" max="8206" width="27.36328125" style="868" customWidth="1"/>
    <col min="8207" max="8207" width="31.453125" style="868" customWidth="1"/>
    <col min="8208" max="8208" width="30.54296875" style="868" customWidth="1"/>
    <col min="8209" max="8209" width="27.36328125" style="868" customWidth="1"/>
    <col min="8210" max="8210" width="32.54296875" style="868" customWidth="1"/>
    <col min="8211" max="8211" width="30.453125" style="868" customWidth="1"/>
    <col min="8212" max="8212" width="24.36328125" style="868" customWidth="1"/>
    <col min="8213" max="8213" width="28" style="868" customWidth="1"/>
    <col min="8214" max="8214" width="19.453125" style="868" customWidth="1"/>
    <col min="8215" max="8451" width="9.08984375" style="868"/>
    <col min="8452" max="8452" width="14.54296875" style="868" customWidth="1"/>
    <col min="8453" max="8453" width="14.453125" style="868" customWidth="1"/>
    <col min="8454" max="8454" width="58.08984375" style="868" customWidth="1"/>
    <col min="8455" max="8455" width="30.453125" style="868" customWidth="1"/>
    <col min="8456" max="8456" width="27.36328125" style="868" customWidth="1"/>
    <col min="8457" max="8457" width="30.90625" style="868" customWidth="1"/>
    <col min="8458" max="8458" width="24.90625" style="868" customWidth="1"/>
    <col min="8459" max="8459" width="27.36328125" style="868" customWidth="1"/>
    <col min="8460" max="8460" width="32" style="868" customWidth="1"/>
    <col min="8461" max="8461" width="25.54296875" style="868" customWidth="1"/>
    <col min="8462" max="8462" width="27.36328125" style="868" customWidth="1"/>
    <col min="8463" max="8463" width="31.453125" style="868" customWidth="1"/>
    <col min="8464" max="8464" width="30.54296875" style="868" customWidth="1"/>
    <col min="8465" max="8465" width="27.36328125" style="868" customWidth="1"/>
    <col min="8466" max="8466" width="32.54296875" style="868" customWidth="1"/>
    <col min="8467" max="8467" width="30.453125" style="868" customWidth="1"/>
    <col min="8468" max="8468" width="24.36328125" style="868" customWidth="1"/>
    <col min="8469" max="8469" width="28" style="868" customWidth="1"/>
    <col min="8470" max="8470" width="19.453125" style="868" customWidth="1"/>
    <col min="8471" max="8707" width="9.08984375" style="868"/>
    <col min="8708" max="8708" width="14.54296875" style="868" customWidth="1"/>
    <col min="8709" max="8709" width="14.453125" style="868" customWidth="1"/>
    <col min="8710" max="8710" width="58.08984375" style="868" customWidth="1"/>
    <col min="8711" max="8711" width="30.453125" style="868" customWidth="1"/>
    <col min="8712" max="8712" width="27.36328125" style="868" customWidth="1"/>
    <col min="8713" max="8713" width="30.90625" style="868" customWidth="1"/>
    <col min="8714" max="8714" width="24.90625" style="868" customWidth="1"/>
    <col min="8715" max="8715" width="27.36328125" style="868" customWidth="1"/>
    <col min="8716" max="8716" width="32" style="868" customWidth="1"/>
    <col min="8717" max="8717" width="25.54296875" style="868" customWidth="1"/>
    <col min="8718" max="8718" width="27.36328125" style="868" customWidth="1"/>
    <col min="8719" max="8719" width="31.453125" style="868" customWidth="1"/>
    <col min="8720" max="8720" width="30.54296875" style="868" customWidth="1"/>
    <col min="8721" max="8721" width="27.36328125" style="868" customWidth="1"/>
    <col min="8722" max="8722" width="32.54296875" style="868" customWidth="1"/>
    <col min="8723" max="8723" width="30.453125" style="868" customWidth="1"/>
    <col min="8724" max="8724" width="24.36328125" style="868" customWidth="1"/>
    <col min="8725" max="8725" width="28" style="868" customWidth="1"/>
    <col min="8726" max="8726" width="19.453125" style="868" customWidth="1"/>
    <col min="8727" max="8963" width="9.08984375" style="868"/>
    <col min="8964" max="8964" width="14.54296875" style="868" customWidth="1"/>
    <col min="8965" max="8965" width="14.453125" style="868" customWidth="1"/>
    <col min="8966" max="8966" width="58.08984375" style="868" customWidth="1"/>
    <col min="8967" max="8967" width="30.453125" style="868" customWidth="1"/>
    <col min="8968" max="8968" width="27.36328125" style="868" customWidth="1"/>
    <col min="8969" max="8969" width="30.90625" style="868" customWidth="1"/>
    <col min="8970" max="8970" width="24.90625" style="868" customWidth="1"/>
    <col min="8971" max="8971" width="27.36328125" style="868" customWidth="1"/>
    <col min="8972" max="8972" width="32" style="868" customWidth="1"/>
    <col min="8973" max="8973" width="25.54296875" style="868" customWidth="1"/>
    <col min="8974" max="8974" width="27.36328125" style="868" customWidth="1"/>
    <col min="8975" max="8975" width="31.453125" style="868" customWidth="1"/>
    <col min="8976" max="8976" width="30.54296875" style="868" customWidth="1"/>
    <col min="8977" max="8977" width="27.36328125" style="868" customWidth="1"/>
    <col min="8978" max="8978" width="32.54296875" style="868" customWidth="1"/>
    <col min="8979" max="8979" width="30.453125" style="868" customWidth="1"/>
    <col min="8980" max="8980" width="24.36328125" style="868" customWidth="1"/>
    <col min="8981" max="8981" width="28" style="868" customWidth="1"/>
    <col min="8982" max="8982" width="19.453125" style="868" customWidth="1"/>
    <col min="8983" max="9219" width="9.08984375" style="868"/>
    <col min="9220" max="9220" width="14.54296875" style="868" customWidth="1"/>
    <col min="9221" max="9221" width="14.453125" style="868" customWidth="1"/>
    <col min="9222" max="9222" width="58.08984375" style="868" customWidth="1"/>
    <col min="9223" max="9223" width="30.453125" style="868" customWidth="1"/>
    <col min="9224" max="9224" width="27.36328125" style="868" customWidth="1"/>
    <col min="9225" max="9225" width="30.90625" style="868" customWidth="1"/>
    <col min="9226" max="9226" width="24.90625" style="868" customWidth="1"/>
    <col min="9227" max="9227" width="27.36328125" style="868" customWidth="1"/>
    <col min="9228" max="9228" width="32" style="868" customWidth="1"/>
    <col min="9229" max="9229" width="25.54296875" style="868" customWidth="1"/>
    <col min="9230" max="9230" width="27.36328125" style="868" customWidth="1"/>
    <col min="9231" max="9231" width="31.453125" style="868" customWidth="1"/>
    <col min="9232" max="9232" width="30.54296875" style="868" customWidth="1"/>
    <col min="9233" max="9233" width="27.36328125" style="868" customWidth="1"/>
    <col min="9234" max="9234" width="32.54296875" style="868" customWidth="1"/>
    <col min="9235" max="9235" width="30.453125" style="868" customWidth="1"/>
    <col min="9236" max="9236" width="24.36328125" style="868" customWidth="1"/>
    <col min="9237" max="9237" width="28" style="868" customWidth="1"/>
    <col min="9238" max="9238" width="19.453125" style="868" customWidth="1"/>
    <col min="9239" max="9475" width="9.08984375" style="868"/>
    <col min="9476" max="9476" width="14.54296875" style="868" customWidth="1"/>
    <col min="9477" max="9477" width="14.453125" style="868" customWidth="1"/>
    <col min="9478" max="9478" width="58.08984375" style="868" customWidth="1"/>
    <col min="9479" max="9479" width="30.453125" style="868" customWidth="1"/>
    <col min="9480" max="9480" width="27.36328125" style="868" customWidth="1"/>
    <col min="9481" max="9481" width="30.90625" style="868" customWidth="1"/>
    <col min="9482" max="9482" width="24.90625" style="868" customWidth="1"/>
    <col min="9483" max="9483" width="27.36328125" style="868" customWidth="1"/>
    <col min="9484" max="9484" width="32" style="868" customWidth="1"/>
    <col min="9485" max="9485" width="25.54296875" style="868" customWidth="1"/>
    <col min="9486" max="9486" width="27.36328125" style="868" customWidth="1"/>
    <col min="9487" max="9487" width="31.453125" style="868" customWidth="1"/>
    <col min="9488" max="9488" width="30.54296875" style="868" customWidth="1"/>
    <col min="9489" max="9489" width="27.36328125" style="868" customWidth="1"/>
    <col min="9490" max="9490" width="32.54296875" style="868" customWidth="1"/>
    <col min="9491" max="9491" width="30.453125" style="868" customWidth="1"/>
    <col min="9492" max="9492" width="24.36328125" style="868" customWidth="1"/>
    <col min="9493" max="9493" width="28" style="868" customWidth="1"/>
    <col min="9494" max="9494" width="19.453125" style="868" customWidth="1"/>
    <col min="9495" max="9731" width="9.08984375" style="868"/>
    <col min="9732" max="9732" width="14.54296875" style="868" customWidth="1"/>
    <col min="9733" max="9733" width="14.453125" style="868" customWidth="1"/>
    <col min="9734" max="9734" width="58.08984375" style="868" customWidth="1"/>
    <col min="9735" max="9735" width="30.453125" style="868" customWidth="1"/>
    <col min="9736" max="9736" width="27.36328125" style="868" customWidth="1"/>
    <col min="9737" max="9737" width="30.90625" style="868" customWidth="1"/>
    <col min="9738" max="9738" width="24.90625" style="868" customWidth="1"/>
    <col min="9739" max="9739" width="27.36328125" style="868" customWidth="1"/>
    <col min="9740" max="9740" width="32" style="868" customWidth="1"/>
    <col min="9741" max="9741" width="25.54296875" style="868" customWidth="1"/>
    <col min="9742" max="9742" width="27.36328125" style="868" customWidth="1"/>
    <col min="9743" max="9743" width="31.453125" style="868" customWidth="1"/>
    <col min="9744" max="9744" width="30.54296875" style="868" customWidth="1"/>
    <col min="9745" max="9745" width="27.36328125" style="868" customWidth="1"/>
    <col min="9746" max="9746" width="32.54296875" style="868" customWidth="1"/>
    <col min="9747" max="9747" width="30.453125" style="868" customWidth="1"/>
    <col min="9748" max="9748" width="24.36328125" style="868" customWidth="1"/>
    <col min="9749" max="9749" width="28" style="868" customWidth="1"/>
    <col min="9750" max="9750" width="19.453125" style="868" customWidth="1"/>
    <col min="9751" max="9987" width="9.08984375" style="868"/>
    <col min="9988" max="9988" width="14.54296875" style="868" customWidth="1"/>
    <col min="9989" max="9989" width="14.453125" style="868" customWidth="1"/>
    <col min="9990" max="9990" width="58.08984375" style="868" customWidth="1"/>
    <col min="9991" max="9991" width="30.453125" style="868" customWidth="1"/>
    <col min="9992" max="9992" width="27.36328125" style="868" customWidth="1"/>
    <col min="9993" max="9993" width="30.90625" style="868" customWidth="1"/>
    <col min="9994" max="9994" width="24.90625" style="868" customWidth="1"/>
    <col min="9995" max="9995" width="27.36328125" style="868" customWidth="1"/>
    <col min="9996" max="9996" width="32" style="868" customWidth="1"/>
    <col min="9997" max="9997" width="25.54296875" style="868" customWidth="1"/>
    <col min="9998" max="9998" width="27.36328125" style="868" customWidth="1"/>
    <col min="9999" max="9999" width="31.453125" style="868" customWidth="1"/>
    <col min="10000" max="10000" width="30.54296875" style="868" customWidth="1"/>
    <col min="10001" max="10001" width="27.36328125" style="868" customWidth="1"/>
    <col min="10002" max="10002" width="32.54296875" style="868" customWidth="1"/>
    <col min="10003" max="10003" width="30.453125" style="868" customWidth="1"/>
    <col min="10004" max="10004" width="24.36328125" style="868" customWidth="1"/>
    <col min="10005" max="10005" width="28" style="868" customWidth="1"/>
    <col min="10006" max="10006" width="19.453125" style="868" customWidth="1"/>
    <col min="10007" max="10243" width="9.08984375" style="868"/>
    <col min="10244" max="10244" width="14.54296875" style="868" customWidth="1"/>
    <col min="10245" max="10245" width="14.453125" style="868" customWidth="1"/>
    <col min="10246" max="10246" width="58.08984375" style="868" customWidth="1"/>
    <col min="10247" max="10247" width="30.453125" style="868" customWidth="1"/>
    <col min="10248" max="10248" width="27.36328125" style="868" customWidth="1"/>
    <col min="10249" max="10249" width="30.90625" style="868" customWidth="1"/>
    <col min="10250" max="10250" width="24.90625" style="868" customWidth="1"/>
    <col min="10251" max="10251" width="27.36328125" style="868" customWidth="1"/>
    <col min="10252" max="10252" width="32" style="868" customWidth="1"/>
    <col min="10253" max="10253" width="25.54296875" style="868" customWidth="1"/>
    <col min="10254" max="10254" width="27.36328125" style="868" customWidth="1"/>
    <col min="10255" max="10255" width="31.453125" style="868" customWidth="1"/>
    <col min="10256" max="10256" width="30.54296875" style="868" customWidth="1"/>
    <col min="10257" max="10257" width="27.36328125" style="868" customWidth="1"/>
    <col min="10258" max="10258" width="32.54296875" style="868" customWidth="1"/>
    <col min="10259" max="10259" width="30.453125" style="868" customWidth="1"/>
    <col min="10260" max="10260" width="24.36328125" style="868" customWidth="1"/>
    <col min="10261" max="10261" width="28" style="868" customWidth="1"/>
    <col min="10262" max="10262" width="19.453125" style="868" customWidth="1"/>
    <col min="10263" max="10499" width="9.08984375" style="868"/>
    <col min="10500" max="10500" width="14.54296875" style="868" customWidth="1"/>
    <col min="10501" max="10501" width="14.453125" style="868" customWidth="1"/>
    <col min="10502" max="10502" width="58.08984375" style="868" customWidth="1"/>
    <col min="10503" max="10503" width="30.453125" style="868" customWidth="1"/>
    <col min="10504" max="10504" width="27.36328125" style="868" customWidth="1"/>
    <col min="10505" max="10505" width="30.90625" style="868" customWidth="1"/>
    <col min="10506" max="10506" width="24.90625" style="868" customWidth="1"/>
    <col min="10507" max="10507" width="27.36328125" style="868" customWidth="1"/>
    <col min="10508" max="10508" width="32" style="868" customWidth="1"/>
    <col min="10509" max="10509" width="25.54296875" style="868" customWidth="1"/>
    <col min="10510" max="10510" width="27.36328125" style="868" customWidth="1"/>
    <col min="10511" max="10511" width="31.453125" style="868" customWidth="1"/>
    <col min="10512" max="10512" width="30.54296875" style="868" customWidth="1"/>
    <col min="10513" max="10513" width="27.36328125" style="868" customWidth="1"/>
    <col min="10514" max="10514" width="32.54296875" style="868" customWidth="1"/>
    <col min="10515" max="10515" width="30.453125" style="868" customWidth="1"/>
    <col min="10516" max="10516" width="24.36328125" style="868" customWidth="1"/>
    <col min="10517" max="10517" width="28" style="868" customWidth="1"/>
    <col min="10518" max="10518" width="19.453125" style="868" customWidth="1"/>
    <col min="10519" max="10755" width="9.08984375" style="868"/>
    <col min="10756" max="10756" width="14.54296875" style="868" customWidth="1"/>
    <col min="10757" max="10757" width="14.453125" style="868" customWidth="1"/>
    <col min="10758" max="10758" width="58.08984375" style="868" customWidth="1"/>
    <col min="10759" max="10759" width="30.453125" style="868" customWidth="1"/>
    <col min="10760" max="10760" width="27.36328125" style="868" customWidth="1"/>
    <col min="10761" max="10761" width="30.90625" style="868" customWidth="1"/>
    <col min="10762" max="10762" width="24.90625" style="868" customWidth="1"/>
    <col min="10763" max="10763" width="27.36328125" style="868" customWidth="1"/>
    <col min="10764" max="10764" width="32" style="868" customWidth="1"/>
    <col min="10765" max="10765" width="25.54296875" style="868" customWidth="1"/>
    <col min="10766" max="10766" width="27.36328125" style="868" customWidth="1"/>
    <col min="10767" max="10767" width="31.453125" style="868" customWidth="1"/>
    <col min="10768" max="10768" width="30.54296875" style="868" customWidth="1"/>
    <col min="10769" max="10769" width="27.36328125" style="868" customWidth="1"/>
    <col min="10770" max="10770" width="32.54296875" style="868" customWidth="1"/>
    <col min="10771" max="10771" width="30.453125" style="868" customWidth="1"/>
    <col min="10772" max="10772" width="24.36328125" style="868" customWidth="1"/>
    <col min="10773" max="10773" width="28" style="868" customWidth="1"/>
    <col min="10774" max="10774" width="19.453125" style="868" customWidth="1"/>
    <col min="10775" max="11011" width="9.08984375" style="868"/>
    <col min="11012" max="11012" width="14.54296875" style="868" customWidth="1"/>
    <col min="11013" max="11013" width="14.453125" style="868" customWidth="1"/>
    <col min="11014" max="11014" width="58.08984375" style="868" customWidth="1"/>
    <col min="11015" max="11015" width="30.453125" style="868" customWidth="1"/>
    <col min="11016" max="11016" width="27.36328125" style="868" customWidth="1"/>
    <col min="11017" max="11017" width="30.90625" style="868" customWidth="1"/>
    <col min="11018" max="11018" width="24.90625" style="868" customWidth="1"/>
    <col min="11019" max="11019" width="27.36328125" style="868" customWidth="1"/>
    <col min="11020" max="11020" width="32" style="868" customWidth="1"/>
    <col min="11021" max="11021" width="25.54296875" style="868" customWidth="1"/>
    <col min="11022" max="11022" width="27.36328125" style="868" customWidth="1"/>
    <col min="11023" max="11023" width="31.453125" style="868" customWidth="1"/>
    <col min="11024" max="11024" width="30.54296875" style="868" customWidth="1"/>
    <col min="11025" max="11025" width="27.36328125" style="868" customWidth="1"/>
    <col min="11026" max="11026" width="32.54296875" style="868" customWidth="1"/>
    <col min="11027" max="11027" width="30.453125" style="868" customWidth="1"/>
    <col min="11028" max="11028" width="24.36328125" style="868" customWidth="1"/>
    <col min="11029" max="11029" width="28" style="868" customWidth="1"/>
    <col min="11030" max="11030" width="19.453125" style="868" customWidth="1"/>
    <col min="11031" max="11267" width="9.08984375" style="868"/>
    <col min="11268" max="11268" width="14.54296875" style="868" customWidth="1"/>
    <col min="11269" max="11269" width="14.453125" style="868" customWidth="1"/>
    <col min="11270" max="11270" width="58.08984375" style="868" customWidth="1"/>
    <col min="11271" max="11271" width="30.453125" style="868" customWidth="1"/>
    <col min="11272" max="11272" width="27.36328125" style="868" customWidth="1"/>
    <col min="11273" max="11273" width="30.90625" style="868" customWidth="1"/>
    <col min="11274" max="11274" width="24.90625" style="868" customWidth="1"/>
    <col min="11275" max="11275" width="27.36328125" style="868" customWidth="1"/>
    <col min="11276" max="11276" width="32" style="868" customWidth="1"/>
    <col min="11277" max="11277" width="25.54296875" style="868" customWidth="1"/>
    <col min="11278" max="11278" width="27.36328125" style="868" customWidth="1"/>
    <col min="11279" max="11279" width="31.453125" style="868" customWidth="1"/>
    <col min="11280" max="11280" width="30.54296875" style="868" customWidth="1"/>
    <col min="11281" max="11281" width="27.36328125" style="868" customWidth="1"/>
    <col min="11282" max="11282" width="32.54296875" style="868" customWidth="1"/>
    <col min="11283" max="11283" width="30.453125" style="868" customWidth="1"/>
    <col min="11284" max="11284" width="24.36328125" style="868" customWidth="1"/>
    <col min="11285" max="11285" width="28" style="868" customWidth="1"/>
    <col min="11286" max="11286" width="19.453125" style="868" customWidth="1"/>
    <col min="11287" max="11523" width="9.08984375" style="868"/>
    <col min="11524" max="11524" width="14.54296875" style="868" customWidth="1"/>
    <col min="11525" max="11525" width="14.453125" style="868" customWidth="1"/>
    <col min="11526" max="11526" width="58.08984375" style="868" customWidth="1"/>
    <col min="11527" max="11527" width="30.453125" style="868" customWidth="1"/>
    <col min="11528" max="11528" width="27.36328125" style="868" customWidth="1"/>
    <col min="11529" max="11529" width="30.90625" style="868" customWidth="1"/>
    <col min="11530" max="11530" width="24.90625" style="868" customWidth="1"/>
    <col min="11531" max="11531" width="27.36328125" style="868" customWidth="1"/>
    <col min="11532" max="11532" width="32" style="868" customWidth="1"/>
    <col min="11533" max="11533" width="25.54296875" style="868" customWidth="1"/>
    <col min="11534" max="11534" width="27.36328125" style="868" customWidth="1"/>
    <col min="11535" max="11535" width="31.453125" style="868" customWidth="1"/>
    <col min="11536" max="11536" width="30.54296875" style="868" customWidth="1"/>
    <col min="11537" max="11537" width="27.36328125" style="868" customWidth="1"/>
    <col min="11538" max="11538" width="32.54296875" style="868" customWidth="1"/>
    <col min="11539" max="11539" width="30.453125" style="868" customWidth="1"/>
    <col min="11540" max="11540" width="24.36328125" style="868" customWidth="1"/>
    <col min="11541" max="11541" width="28" style="868" customWidth="1"/>
    <col min="11542" max="11542" width="19.453125" style="868" customWidth="1"/>
    <col min="11543" max="11779" width="9.08984375" style="868"/>
    <col min="11780" max="11780" width="14.54296875" style="868" customWidth="1"/>
    <col min="11781" max="11781" width="14.453125" style="868" customWidth="1"/>
    <col min="11782" max="11782" width="58.08984375" style="868" customWidth="1"/>
    <col min="11783" max="11783" width="30.453125" style="868" customWidth="1"/>
    <col min="11784" max="11784" width="27.36328125" style="868" customWidth="1"/>
    <col min="11785" max="11785" width="30.90625" style="868" customWidth="1"/>
    <col min="11786" max="11786" width="24.90625" style="868" customWidth="1"/>
    <col min="11787" max="11787" width="27.36328125" style="868" customWidth="1"/>
    <col min="11788" max="11788" width="32" style="868" customWidth="1"/>
    <col min="11789" max="11789" width="25.54296875" style="868" customWidth="1"/>
    <col min="11790" max="11790" width="27.36328125" style="868" customWidth="1"/>
    <col min="11791" max="11791" width="31.453125" style="868" customWidth="1"/>
    <col min="11792" max="11792" width="30.54296875" style="868" customWidth="1"/>
    <col min="11793" max="11793" width="27.36328125" style="868" customWidth="1"/>
    <col min="11794" max="11794" width="32.54296875" style="868" customWidth="1"/>
    <col min="11795" max="11795" width="30.453125" style="868" customWidth="1"/>
    <col min="11796" max="11796" width="24.36328125" style="868" customWidth="1"/>
    <col min="11797" max="11797" width="28" style="868" customWidth="1"/>
    <col min="11798" max="11798" width="19.453125" style="868" customWidth="1"/>
    <col min="11799" max="12035" width="9.08984375" style="868"/>
    <col min="12036" max="12036" width="14.54296875" style="868" customWidth="1"/>
    <col min="12037" max="12037" width="14.453125" style="868" customWidth="1"/>
    <col min="12038" max="12038" width="58.08984375" style="868" customWidth="1"/>
    <col min="12039" max="12039" width="30.453125" style="868" customWidth="1"/>
    <col min="12040" max="12040" width="27.36328125" style="868" customWidth="1"/>
    <col min="12041" max="12041" width="30.90625" style="868" customWidth="1"/>
    <col min="12042" max="12042" width="24.90625" style="868" customWidth="1"/>
    <col min="12043" max="12043" width="27.36328125" style="868" customWidth="1"/>
    <col min="12044" max="12044" width="32" style="868" customWidth="1"/>
    <col min="12045" max="12045" width="25.54296875" style="868" customWidth="1"/>
    <col min="12046" max="12046" width="27.36328125" style="868" customWidth="1"/>
    <col min="12047" max="12047" width="31.453125" style="868" customWidth="1"/>
    <col min="12048" max="12048" width="30.54296875" style="868" customWidth="1"/>
    <col min="12049" max="12049" width="27.36328125" style="868" customWidth="1"/>
    <col min="12050" max="12050" width="32.54296875" style="868" customWidth="1"/>
    <col min="12051" max="12051" width="30.453125" style="868" customWidth="1"/>
    <col min="12052" max="12052" width="24.36328125" style="868" customWidth="1"/>
    <col min="12053" max="12053" width="28" style="868" customWidth="1"/>
    <col min="12054" max="12054" width="19.453125" style="868" customWidth="1"/>
    <col min="12055" max="12291" width="9.08984375" style="868"/>
    <col min="12292" max="12292" width="14.54296875" style="868" customWidth="1"/>
    <col min="12293" max="12293" width="14.453125" style="868" customWidth="1"/>
    <col min="12294" max="12294" width="58.08984375" style="868" customWidth="1"/>
    <col min="12295" max="12295" width="30.453125" style="868" customWidth="1"/>
    <col min="12296" max="12296" width="27.36328125" style="868" customWidth="1"/>
    <col min="12297" max="12297" width="30.90625" style="868" customWidth="1"/>
    <col min="12298" max="12298" width="24.90625" style="868" customWidth="1"/>
    <col min="12299" max="12299" width="27.36328125" style="868" customWidth="1"/>
    <col min="12300" max="12300" width="32" style="868" customWidth="1"/>
    <col min="12301" max="12301" width="25.54296875" style="868" customWidth="1"/>
    <col min="12302" max="12302" width="27.36328125" style="868" customWidth="1"/>
    <col min="12303" max="12303" width="31.453125" style="868" customWidth="1"/>
    <col min="12304" max="12304" width="30.54296875" style="868" customWidth="1"/>
    <col min="12305" max="12305" width="27.36328125" style="868" customWidth="1"/>
    <col min="12306" max="12306" width="32.54296875" style="868" customWidth="1"/>
    <col min="12307" max="12307" width="30.453125" style="868" customWidth="1"/>
    <col min="12308" max="12308" width="24.36328125" style="868" customWidth="1"/>
    <col min="12309" max="12309" width="28" style="868" customWidth="1"/>
    <col min="12310" max="12310" width="19.453125" style="868" customWidth="1"/>
    <col min="12311" max="12547" width="9.08984375" style="868"/>
    <col min="12548" max="12548" width="14.54296875" style="868" customWidth="1"/>
    <col min="12549" max="12549" width="14.453125" style="868" customWidth="1"/>
    <col min="12550" max="12550" width="58.08984375" style="868" customWidth="1"/>
    <col min="12551" max="12551" width="30.453125" style="868" customWidth="1"/>
    <col min="12552" max="12552" width="27.36328125" style="868" customWidth="1"/>
    <col min="12553" max="12553" width="30.90625" style="868" customWidth="1"/>
    <col min="12554" max="12554" width="24.90625" style="868" customWidth="1"/>
    <col min="12555" max="12555" width="27.36328125" style="868" customWidth="1"/>
    <col min="12556" max="12556" width="32" style="868" customWidth="1"/>
    <col min="12557" max="12557" width="25.54296875" style="868" customWidth="1"/>
    <col min="12558" max="12558" width="27.36328125" style="868" customWidth="1"/>
    <col min="12559" max="12559" width="31.453125" style="868" customWidth="1"/>
    <col min="12560" max="12560" width="30.54296875" style="868" customWidth="1"/>
    <col min="12561" max="12561" width="27.36328125" style="868" customWidth="1"/>
    <col min="12562" max="12562" width="32.54296875" style="868" customWidth="1"/>
    <col min="12563" max="12563" width="30.453125" style="868" customWidth="1"/>
    <col min="12564" max="12564" width="24.36328125" style="868" customWidth="1"/>
    <col min="12565" max="12565" width="28" style="868" customWidth="1"/>
    <col min="12566" max="12566" width="19.453125" style="868" customWidth="1"/>
    <col min="12567" max="12803" width="9.08984375" style="868"/>
    <col min="12804" max="12804" width="14.54296875" style="868" customWidth="1"/>
    <col min="12805" max="12805" width="14.453125" style="868" customWidth="1"/>
    <col min="12806" max="12806" width="58.08984375" style="868" customWidth="1"/>
    <col min="12807" max="12807" width="30.453125" style="868" customWidth="1"/>
    <col min="12808" max="12808" width="27.36328125" style="868" customWidth="1"/>
    <col min="12809" max="12809" width="30.90625" style="868" customWidth="1"/>
    <col min="12810" max="12810" width="24.90625" style="868" customWidth="1"/>
    <col min="12811" max="12811" width="27.36328125" style="868" customWidth="1"/>
    <col min="12812" max="12812" width="32" style="868" customWidth="1"/>
    <col min="12813" max="12813" width="25.54296875" style="868" customWidth="1"/>
    <col min="12814" max="12814" width="27.36328125" style="868" customWidth="1"/>
    <col min="12815" max="12815" width="31.453125" style="868" customWidth="1"/>
    <col min="12816" max="12816" width="30.54296875" style="868" customWidth="1"/>
    <col min="12817" max="12817" width="27.36328125" style="868" customWidth="1"/>
    <col min="12818" max="12818" width="32.54296875" style="868" customWidth="1"/>
    <col min="12819" max="12819" width="30.453125" style="868" customWidth="1"/>
    <col min="12820" max="12820" width="24.36328125" style="868" customWidth="1"/>
    <col min="12821" max="12821" width="28" style="868" customWidth="1"/>
    <col min="12822" max="12822" width="19.453125" style="868" customWidth="1"/>
    <col min="12823" max="13059" width="9.08984375" style="868"/>
    <col min="13060" max="13060" width="14.54296875" style="868" customWidth="1"/>
    <col min="13061" max="13061" width="14.453125" style="868" customWidth="1"/>
    <col min="13062" max="13062" width="58.08984375" style="868" customWidth="1"/>
    <col min="13063" max="13063" width="30.453125" style="868" customWidth="1"/>
    <col min="13064" max="13064" width="27.36328125" style="868" customWidth="1"/>
    <col min="13065" max="13065" width="30.90625" style="868" customWidth="1"/>
    <col min="13066" max="13066" width="24.90625" style="868" customWidth="1"/>
    <col min="13067" max="13067" width="27.36328125" style="868" customWidth="1"/>
    <col min="13068" max="13068" width="32" style="868" customWidth="1"/>
    <col min="13069" max="13069" width="25.54296875" style="868" customWidth="1"/>
    <col min="13070" max="13070" width="27.36328125" style="868" customWidth="1"/>
    <col min="13071" max="13071" width="31.453125" style="868" customWidth="1"/>
    <col min="13072" max="13072" width="30.54296875" style="868" customWidth="1"/>
    <col min="13073" max="13073" width="27.36328125" style="868" customWidth="1"/>
    <col min="13074" max="13074" width="32.54296875" style="868" customWidth="1"/>
    <col min="13075" max="13075" width="30.453125" style="868" customWidth="1"/>
    <col min="13076" max="13076" width="24.36328125" style="868" customWidth="1"/>
    <col min="13077" max="13077" width="28" style="868" customWidth="1"/>
    <col min="13078" max="13078" width="19.453125" style="868" customWidth="1"/>
    <col min="13079" max="13315" width="9.08984375" style="868"/>
    <col min="13316" max="13316" width="14.54296875" style="868" customWidth="1"/>
    <col min="13317" max="13317" width="14.453125" style="868" customWidth="1"/>
    <col min="13318" max="13318" width="58.08984375" style="868" customWidth="1"/>
    <col min="13319" max="13319" width="30.453125" style="868" customWidth="1"/>
    <col min="13320" max="13320" width="27.36328125" style="868" customWidth="1"/>
    <col min="13321" max="13321" width="30.90625" style="868" customWidth="1"/>
    <col min="13322" max="13322" width="24.90625" style="868" customWidth="1"/>
    <col min="13323" max="13323" width="27.36328125" style="868" customWidth="1"/>
    <col min="13324" max="13324" width="32" style="868" customWidth="1"/>
    <col min="13325" max="13325" width="25.54296875" style="868" customWidth="1"/>
    <col min="13326" max="13326" width="27.36328125" style="868" customWidth="1"/>
    <col min="13327" max="13327" width="31.453125" style="868" customWidth="1"/>
    <col min="13328" max="13328" width="30.54296875" style="868" customWidth="1"/>
    <col min="13329" max="13329" width="27.36328125" style="868" customWidth="1"/>
    <col min="13330" max="13330" width="32.54296875" style="868" customWidth="1"/>
    <col min="13331" max="13331" width="30.453125" style="868" customWidth="1"/>
    <col min="13332" max="13332" width="24.36328125" style="868" customWidth="1"/>
    <col min="13333" max="13333" width="28" style="868" customWidth="1"/>
    <col min="13334" max="13334" width="19.453125" style="868" customWidth="1"/>
    <col min="13335" max="13571" width="9.08984375" style="868"/>
    <col min="13572" max="13572" width="14.54296875" style="868" customWidth="1"/>
    <col min="13573" max="13573" width="14.453125" style="868" customWidth="1"/>
    <col min="13574" max="13574" width="58.08984375" style="868" customWidth="1"/>
    <col min="13575" max="13575" width="30.453125" style="868" customWidth="1"/>
    <col min="13576" max="13576" width="27.36328125" style="868" customWidth="1"/>
    <col min="13577" max="13577" width="30.90625" style="868" customWidth="1"/>
    <col min="13578" max="13578" width="24.90625" style="868" customWidth="1"/>
    <col min="13579" max="13579" width="27.36328125" style="868" customWidth="1"/>
    <col min="13580" max="13580" width="32" style="868" customWidth="1"/>
    <col min="13581" max="13581" width="25.54296875" style="868" customWidth="1"/>
    <col min="13582" max="13582" width="27.36328125" style="868" customWidth="1"/>
    <col min="13583" max="13583" width="31.453125" style="868" customWidth="1"/>
    <col min="13584" max="13584" width="30.54296875" style="868" customWidth="1"/>
    <col min="13585" max="13585" width="27.36328125" style="868" customWidth="1"/>
    <col min="13586" max="13586" width="32.54296875" style="868" customWidth="1"/>
    <col min="13587" max="13587" width="30.453125" style="868" customWidth="1"/>
    <col min="13588" max="13588" width="24.36328125" style="868" customWidth="1"/>
    <col min="13589" max="13589" width="28" style="868" customWidth="1"/>
    <col min="13590" max="13590" width="19.453125" style="868" customWidth="1"/>
    <col min="13591" max="13827" width="9.08984375" style="868"/>
    <col min="13828" max="13828" width="14.54296875" style="868" customWidth="1"/>
    <col min="13829" max="13829" width="14.453125" style="868" customWidth="1"/>
    <col min="13830" max="13830" width="58.08984375" style="868" customWidth="1"/>
    <col min="13831" max="13831" width="30.453125" style="868" customWidth="1"/>
    <col min="13832" max="13832" width="27.36328125" style="868" customWidth="1"/>
    <col min="13833" max="13833" width="30.90625" style="868" customWidth="1"/>
    <col min="13834" max="13834" width="24.90625" style="868" customWidth="1"/>
    <col min="13835" max="13835" width="27.36328125" style="868" customWidth="1"/>
    <col min="13836" max="13836" width="32" style="868" customWidth="1"/>
    <col min="13837" max="13837" width="25.54296875" style="868" customWidth="1"/>
    <col min="13838" max="13838" width="27.36328125" style="868" customWidth="1"/>
    <col min="13839" max="13839" width="31.453125" style="868" customWidth="1"/>
    <col min="13840" max="13840" width="30.54296875" style="868" customWidth="1"/>
    <col min="13841" max="13841" width="27.36328125" style="868" customWidth="1"/>
    <col min="13842" max="13842" width="32.54296875" style="868" customWidth="1"/>
    <col min="13843" max="13843" width="30.453125" style="868" customWidth="1"/>
    <col min="13844" max="13844" width="24.36328125" style="868" customWidth="1"/>
    <col min="13845" max="13845" width="28" style="868" customWidth="1"/>
    <col min="13846" max="13846" width="19.453125" style="868" customWidth="1"/>
    <col min="13847" max="14083" width="9.08984375" style="868"/>
    <col min="14084" max="14084" width="14.54296875" style="868" customWidth="1"/>
    <col min="14085" max="14085" width="14.453125" style="868" customWidth="1"/>
    <col min="14086" max="14086" width="58.08984375" style="868" customWidth="1"/>
    <col min="14087" max="14087" width="30.453125" style="868" customWidth="1"/>
    <col min="14088" max="14088" width="27.36328125" style="868" customWidth="1"/>
    <col min="14089" max="14089" width="30.90625" style="868" customWidth="1"/>
    <col min="14090" max="14090" width="24.90625" style="868" customWidth="1"/>
    <col min="14091" max="14091" width="27.36328125" style="868" customWidth="1"/>
    <col min="14092" max="14092" width="32" style="868" customWidth="1"/>
    <col min="14093" max="14093" width="25.54296875" style="868" customWidth="1"/>
    <col min="14094" max="14094" width="27.36328125" style="868" customWidth="1"/>
    <col min="14095" max="14095" width="31.453125" style="868" customWidth="1"/>
    <col min="14096" max="14096" width="30.54296875" style="868" customWidth="1"/>
    <col min="14097" max="14097" width="27.36328125" style="868" customWidth="1"/>
    <col min="14098" max="14098" width="32.54296875" style="868" customWidth="1"/>
    <col min="14099" max="14099" width="30.453125" style="868" customWidth="1"/>
    <col min="14100" max="14100" width="24.36328125" style="868" customWidth="1"/>
    <col min="14101" max="14101" width="28" style="868" customWidth="1"/>
    <col min="14102" max="14102" width="19.453125" style="868" customWidth="1"/>
    <col min="14103" max="14339" width="9.08984375" style="868"/>
    <col min="14340" max="14340" width="14.54296875" style="868" customWidth="1"/>
    <col min="14341" max="14341" width="14.453125" style="868" customWidth="1"/>
    <col min="14342" max="14342" width="58.08984375" style="868" customWidth="1"/>
    <col min="14343" max="14343" width="30.453125" style="868" customWidth="1"/>
    <col min="14344" max="14344" width="27.36328125" style="868" customWidth="1"/>
    <col min="14345" max="14345" width="30.90625" style="868" customWidth="1"/>
    <col min="14346" max="14346" width="24.90625" style="868" customWidth="1"/>
    <col min="14347" max="14347" width="27.36328125" style="868" customWidth="1"/>
    <col min="14348" max="14348" width="32" style="868" customWidth="1"/>
    <col min="14349" max="14349" width="25.54296875" style="868" customWidth="1"/>
    <col min="14350" max="14350" width="27.36328125" style="868" customWidth="1"/>
    <col min="14351" max="14351" width="31.453125" style="868" customWidth="1"/>
    <col min="14352" max="14352" width="30.54296875" style="868" customWidth="1"/>
    <col min="14353" max="14353" width="27.36328125" style="868" customWidth="1"/>
    <col min="14354" max="14354" width="32.54296875" style="868" customWidth="1"/>
    <col min="14355" max="14355" width="30.453125" style="868" customWidth="1"/>
    <col min="14356" max="14356" width="24.36328125" style="868" customWidth="1"/>
    <col min="14357" max="14357" width="28" style="868" customWidth="1"/>
    <col min="14358" max="14358" width="19.453125" style="868" customWidth="1"/>
    <col min="14359" max="14595" width="9.08984375" style="868"/>
    <col min="14596" max="14596" width="14.54296875" style="868" customWidth="1"/>
    <col min="14597" max="14597" width="14.453125" style="868" customWidth="1"/>
    <col min="14598" max="14598" width="58.08984375" style="868" customWidth="1"/>
    <col min="14599" max="14599" width="30.453125" style="868" customWidth="1"/>
    <col min="14600" max="14600" width="27.36328125" style="868" customWidth="1"/>
    <col min="14601" max="14601" width="30.90625" style="868" customWidth="1"/>
    <col min="14602" max="14602" width="24.90625" style="868" customWidth="1"/>
    <col min="14603" max="14603" width="27.36328125" style="868" customWidth="1"/>
    <col min="14604" max="14604" width="32" style="868" customWidth="1"/>
    <col min="14605" max="14605" width="25.54296875" style="868" customWidth="1"/>
    <col min="14606" max="14606" width="27.36328125" style="868" customWidth="1"/>
    <col min="14607" max="14607" width="31.453125" style="868" customWidth="1"/>
    <col min="14608" max="14608" width="30.54296875" style="868" customWidth="1"/>
    <col min="14609" max="14609" width="27.36328125" style="868" customWidth="1"/>
    <col min="14610" max="14610" width="32.54296875" style="868" customWidth="1"/>
    <col min="14611" max="14611" width="30.453125" style="868" customWidth="1"/>
    <col min="14612" max="14612" width="24.36328125" style="868" customWidth="1"/>
    <col min="14613" max="14613" width="28" style="868" customWidth="1"/>
    <col min="14614" max="14614" width="19.453125" style="868" customWidth="1"/>
    <col min="14615" max="14851" width="9.08984375" style="868"/>
    <col min="14852" max="14852" width="14.54296875" style="868" customWidth="1"/>
    <col min="14853" max="14853" width="14.453125" style="868" customWidth="1"/>
    <col min="14854" max="14854" width="58.08984375" style="868" customWidth="1"/>
    <col min="14855" max="14855" width="30.453125" style="868" customWidth="1"/>
    <col min="14856" max="14856" width="27.36328125" style="868" customWidth="1"/>
    <col min="14857" max="14857" width="30.90625" style="868" customWidth="1"/>
    <col min="14858" max="14858" width="24.90625" style="868" customWidth="1"/>
    <col min="14859" max="14859" width="27.36328125" style="868" customWidth="1"/>
    <col min="14860" max="14860" width="32" style="868" customWidth="1"/>
    <col min="14861" max="14861" width="25.54296875" style="868" customWidth="1"/>
    <col min="14862" max="14862" width="27.36328125" style="868" customWidth="1"/>
    <col min="14863" max="14863" width="31.453125" style="868" customWidth="1"/>
    <col min="14864" max="14864" width="30.54296875" style="868" customWidth="1"/>
    <col min="14865" max="14865" width="27.36328125" style="868" customWidth="1"/>
    <col min="14866" max="14866" width="32.54296875" style="868" customWidth="1"/>
    <col min="14867" max="14867" width="30.453125" style="868" customWidth="1"/>
    <col min="14868" max="14868" width="24.36328125" style="868" customWidth="1"/>
    <col min="14869" max="14869" width="28" style="868" customWidth="1"/>
    <col min="14870" max="14870" width="19.453125" style="868" customWidth="1"/>
    <col min="14871" max="15107" width="9.08984375" style="868"/>
    <col min="15108" max="15108" width="14.54296875" style="868" customWidth="1"/>
    <col min="15109" max="15109" width="14.453125" style="868" customWidth="1"/>
    <col min="15110" max="15110" width="58.08984375" style="868" customWidth="1"/>
    <col min="15111" max="15111" width="30.453125" style="868" customWidth="1"/>
    <col min="15112" max="15112" width="27.36328125" style="868" customWidth="1"/>
    <col min="15113" max="15113" width="30.90625" style="868" customWidth="1"/>
    <col min="15114" max="15114" width="24.90625" style="868" customWidth="1"/>
    <col min="15115" max="15115" width="27.36328125" style="868" customWidth="1"/>
    <col min="15116" max="15116" width="32" style="868" customWidth="1"/>
    <col min="15117" max="15117" width="25.54296875" style="868" customWidth="1"/>
    <col min="15118" max="15118" width="27.36328125" style="868" customWidth="1"/>
    <col min="15119" max="15119" width="31.453125" style="868" customWidth="1"/>
    <col min="15120" max="15120" width="30.54296875" style="868" customWidth="1"/>
    <col min="15121" max="15121" width="27.36328125" style="868" customWidth="1"/>
    <col min="15122" max="15122" width="32.54296875" style="868" customWidth="1"/>
    <col min="15123" max="15123" width="30.453125" style="868" customWidth="1"/>
    <col min="15124" max="15124" width="24.36328125" style="868" customWidth="1"/>
    <col min="15125" max="15125" width="28" style="868" customWidth="1"/>
    <col min="15126" max="15126" width="19.453125" style="868" customWidth="1"/>
    <col min="15127" max="15363" width="9.08984375" style="868"/>
    <col min="15364" max="15364" width="14.54296875" style="868" customWidth="1"/>
    <col min="15365" max="15365" width="14.453125" style="868" customWidth="1"/>
    <col min="15366" max="15366" width="58.08984375" style="868" customWidth="1"/>
    <col min="15367" max="15367" width="30.453125" style="868" customWidth="1"/>
    <col min="15368" max="15368" width="27.36328125" style="868" customWidth="1"/>
    <col min="15369" max="15369" width="30.90625" style="868" customWidth="1"/>
    <col min="15370" max="15370" width="24.90625" style="868" customWidth="1"/>
    <col min="15371" max="15371" width="27.36328125" style="868" customWidth="1"/>
    <col min="15372" max="15372" width="32" style="868" customWidth="1"/>
    <col min="15373" max="15373" width="25.54296875" style="868" customWidth="1"/>
    <col min="15374" max="15374" width="27.36328125" style="868" customWidth="1"/>
    <col min="15375" max="15375" width="31.453125" style="868" customWidth="1"/>
    <col min="15376" max="15376" width="30.54296875" style="868" customWidth="1"/>
    <col min="15377" max="15377" width="27.36328125" style="868" customWidth="1"/>
    <col min="15378" max="15378" width="32.54296875" style="868" customWidth="1"/>
    <col min="15379" max="15379" width="30.453125" style="868" customWidth="1"/>
    <col min="15380" max="15380" width="24.36328125" style="868" customWidth="1"/>
    <col min="15381" max="15381" width="28" style="868" customWidth="1"/>
    <col min="15382" max="15382" width="19.453125" style="868" customWidth="1"/>
    <col min="15383" max="15619" width="9.08984375" style="868"/>
    <col min="15620" max="15620" width="14.54296875" style="868" customWidth="1"/>
    <col min="15621" max="15621" width="14.453125" style="868" customWidth="1"/>
    <col min="15622" max="15622" width="58.08984375" style="868" customWidth="1"/>
    <col min="15623" max="15623" width="30.453125" style="868" customWidth="1"/>
    <col min="15624" max="15624" width="27.36328125" style="868" customWidth="1"/>
    <col min="15625" max="15625" width="30.90625" style="868" customWidth="1"/>
    <col min="15626" max="15626" width="24.90625" style="868" customWidth="1"/>
    <col min="15627" max="15627" width="27.36328125" style="868" customWidth="1"/>
    <col min="15628" max="15628" width="32" style="868" customWidth="1"/>
    <col min="15629" max="15629" width="25.54296875" style="868" customWidth="1"/>
    <col min="15630" max="15630" width="27.36328125" style="868" customWidth="1"/>
    <col min="15631" max="15631" width="31.453125" style="868" customWidth="1"/>
    <col min="15632" max="15632" width="30.54296875" style="868" customWidth="1"/>
    <col min="15633" max="15633" width="27.36328125" style="868" customWidth="1"/>
    <col min="15634" max="15634" width="32.54296875" style="868" customWidth="1"/>
    <col min="15635" max="15635" width="30.453125" style="868" customWidth="1"/>
    <col min="15636" max="15636" width="24.36328125" style="868" customWidth="1"/>
    <col min="15637" max="15637" width="28" style="868" customWidth="1"/>
    <col min="15638" max="15638" width="19.453125" style="868" customWidth="1"/>
    <col min="15639" max="15875" width="9.08984375" style="868"/>
    <col min="15876" max="15876" width="14.54296875" style="868" customWidth="1"/>
    <col min="15877" max="15877" width="14.453125" style="868" customWidth="1"/>
    <col min="15878" max="15878" width="58.08984375" style="868" customWidth="1"/>
    <col min="15879" max="15879" width="30.453125" style="868" customWidth="1"/>
    <col min="15880" max="15880" width="27.36328125" style="868" customWidth="1"/>
    <col min="15881" max="15881" width="30.90625" style="868" customWidth="1"/>
    <col min="15882" max="15882" width="24.90625" style="868" customWidth="1"/>
    <col min="15883" max="15883" width="27.36328125" style="868" customWidth="1"/>
    <col min="15884" max="15884" width="32" style="868" customWidth="1"/>
    <col min="15885" max="15885" width="25.54296875" style="868" customWidth="1"/>
    <col min="15886" max="15886" width="27.36328125" style="868" customWidth="1"/>
    <col min="15887" max="15887" width="31.453125" style="868" customWidth="1"/>
    <col min="15888" max="15888" width="30.54296875" style="868" customWidth="1"/>
    <col min="15889" max="15889" width="27.36328125" style="868" customWidth="1"/>
    <col min="15890" max="15890" width="32.54296875" style="868" customWidth="1"/>
    <col min="15891" max="15891" width="30.453125" style="868" customWidth="1"/>
    <col min="15892" max="15892" width="24.36328125" style="868" customWidth="1"/>
    <col min="15893" max="15893" width="28" style="868" customWidth="1"/>
    <col min="15894" max="15894" width="19.453125" style="868" customWidth="1"/>
    <col min="15895" max="16131" width="9.08984375" style="868"/>
    <col min="16132" max="16132" width="14.54296875" style="868" customWidth="1"/>
    <col min="16133" max="16133" width="14.453125" style="868" customWidth="1"/>
    <col min="16134" max="16134" width="58.08984375" style="868" customWidth="1"/>
    <col min="16135" max="16135" width="30.453125" style="868" customWidth="1"/>
    <col min="16136" max="16136" width="27.36328125" style="868" customWidth="1"/>
    <col min="16137" max="16137" width="30.90625" style="868" customWidth="1"/>
    <col min="16138" max="16138" width="24.90625" style="868" customWidth="1"/>
    <col min="16139" max="16139" width="27.36328125" style="868" customWidth="1"/>
    <col min="16140" max="16140" width="32" style="868" customWidth="1"/>
    <col min="16141" max="16141" width="25.54296875" style="868" customWidth="1"/>
    <col min="16142" max="16142" width="27.36328125" style="868" customWidth="1"/>
    <col min="16143" max="16143" width="31.453125" style="868" customWidth="1"/>
    <col min="16144" max="16144" width="30.54296875" style="868" customWidth="1"/>
    <col min="16145" max="16145" width="27.36328125" style="868" customWidth="1"/>
    <col min="16146" max="16146" width="32.54296875" style="868" customWidth="1"/>
    <col min="16147" max="16147" width="30.453125" style="868" customWidth="1"/>
    <col min="16148" max="16148" width="24.36328125" style="868" customWidth="1"/>
    <col min="16149" max="16149" width="28" style="868" customWidth="1"/>
    <col min="16150" max="16150" width="19.453125" style="868" customWidth="1"/>
    <col min="16151" max="16384" width="9.08984375" style="868"/>
  </cols>
  <sheetData>
    <row r="1" spans="2:21" x14ac:dyDescent="0.3">
      <c r="C1" s="866"/>
      <c r="D1" s="867"/>
      <c r="E1" s="867"/>
      <c r="F1" s="867"/>
      <c r="G1" s="867"/>
      <c r="K1" s="867"/>
      <c r="L1" s="867"/>
      <c r="M1" s="867"/>
    </row>
    <row r="2" spans="2:21" s="811" customFormat="1" x14ac:dyDescent="0.3">
      <c r="B2" s="22"/>
      <c r="C2" s="871"/>
      <c r="D2" s="22"/>
      <c r="E2" s="22"/>
      <c r="F2" s="22"/>
      <c r="G2" s="22"/>
      <c r="H2" s="798" t="str">
        <f>Index!$B$2</f>
        <v xml:space="preserve">      Maharashtra State Power Generation Company Ltd.</v>
      </c>
    </row>
    <row r="3" spans="2:21" s="811" customFormat="1" x14ac:dyDescent="0.3">
      <c r="B3" s="872"/>
      <c r="C3" s="871"/>
      <c r="D3" s="858"/>
      <c r="E3" s="858"/>
      <c r="F3" s="858"/>
      <c r="G3" s="858"/>
      <c r="H3" s="809" t="s">
        <v>1192</v>
      </c>
    </row>
    <row r="4" spans="2:21" s="811" customFormat="1" ht="15" customHeight="1" x14ac:dyDescent="0.3">
      <c r="B4" s="872"/>
      <c r="C4" s="871"/>
      <c r="D4" s="858"/>
      <c r="E4" s="858"/>
      <c r="F4" s="858"/>
      <c r="G4" s="858"/>
      <c r="H4" s="809" t="s">
        <v>1214</v>
      </c>
    </row>
    <row r="5" spans="2:21" ht="15" customHeight="1" x14ac:dyDescent="0.3">
      <c r="U5" s="874" t="s">
        <v>10</v>
      </c>
    </row>
    <row r="6" spans="2:21" s="875" customFormat="1" x14ac:dyDescent="0.3">
      <c r="B6" s="1829" t="s">
        <v>340</v>
      </c>
      <c r="C6" s="1829" t="s">
        <v>1215</v>
      </c>
      <c r="D6" s="1834" t="s">
        <v>1216</v>
      </c>
      <c r="E6" s="1835"/>
      <c r="F6" s="1835"/>
      <c r="G6" s="1835"/>
      <c r="H6" s="1835"/>
      <c r="I6" s="1835"/>
      <c r="J6" s="1835"/>
      <c r="K6" s="1835"/>
      <c r="L6" s="1835"/>
      <c r="M6" s="1835"/>
      <c r="N6" s="1835"/>
      <c r="O6" s="1835"/>
      <c r="P6" s="1835"/>
      <c r="Q6" s="1835"/>
      <c r="R6" s="1835"/>
      <c r="S6" s="1836"/>
      <c r="T6" s="1837" t="s">
        <v>1217</v>
      </c>
      <c r="U6" s="1840" t="s">
        <v>1218</v>
      </c>
    </row>
    <row r="7" spans="2:21" s="876" customFormat="1" x14ac:dyDescent="0.25">
      <c r="B7" s="1830"/>
      <c r="C7" s="1830"/>
      <c r="D7" s="1843" t="s">
        <v>1219</v>
      </c>
      <c r="E7" s="1843"/>
      <c r="F7" s="1843"/>
      <c r="G7" s="1843"/>
      <c r="H7" s="1843" t="s">
        <v>1220</v>
      </c>
      <c r="I7" s="1843"/>
      <c r="J7" s="1843"/>
      <c r="K7" s="1843" t="s">
        <v>1220</v>
      </c>
      <c r="L7" s="1843"/>
      <c r="M7" s="1843"/>
      <c r="N7" s="1843" t="s">
        <v>1221</v>
      </c>
      <c r="O7" s="1843"/>
      <c r="P7" s="1843"/>
      <c r="Q7" s="1843" t="s">
        <v>1222</v>
      </c>
      <c r="R7" s="1843"/>
      <c r="S7" s="1843"/>
      <c r="T7" s="1838"/>
      <c r="U7" s="1841"/>
    </row>
    <row r="8" spans="2:21" s="878" customFormat="1" ht="70" x14ac:dyDescent="0.25">
      <c r="B8" s="1831"/>
      <c r="C8" s="1830"/>
      <c r="D8" s="877" t="s">
        <v>1223</v>
      </c>
      <c r="E8" s="877" t="s">
        <v>1224</v>
      </c>
      <c r="F8" s="877" t="s">
        <v>1225</v>
      </c>
      <c r="G8" s="877" t="s">
        <v>1226</v>
      </c>
      <c r="H8" s="877" t="s">
        <v>1224</v>
      </c>
      <c r="I8" s="877" t="s">
        <v>1225</v>
      </c>
      <c r="J8" s="877" t="s">
        <v>1226</v>
      </c>
      <c r="K8" s="877" t="s">
        <v>1224</v>
      </c>
      <c r="L8" s="877" t="s">
        <v>1225</v>
      </c>
      <c r="M8" s="877" t="s">
        <v>1226</v>
      </c>
      <c r="N8" s="877" t="s">
        <v>25</v>
      </c>
      <c r="O8" s="877" t="s">
        <v>25</v>
      </c>
      <c r="P8" s="877" t="s">
        <v>25</v>
      </c>
      <c r="Q8" s="877" t="s">
        <v>1224</v>
      </c>
      <c r="R8" s="877" t="s">
        <v>1225</v>
      </c>
      <c r="S8" s="877" t="s">
        <v>1226</v>
      </c>
      <c r="T8" s="1839"/>
      <c r="U8" s="1841"/>
    </row>
    <row r="9" spans="2:21" s="878" customFormat="1" x14ac:dyDescent="0.25">
      <c r="B9" s="1832"/>
      <c r="C9" s="1833"/>
      <c r="D9" s="877"/>
      <c r="E9" s="877" t="s">
        <v>82</v>
      </c>
      <c r="F9" s="877" t="s">
        <v>83</v>
      </c>
      <c r="G9" s="877" t="s">
        <v>1227</v>
      </c>
      <c r="H9" s="877" t="s">
        <v>391</v>
      </c>
      <c r="I9" s="877" t="s">
        <v>409</v>
      </c>
      <c r="J9" s="877" t="s">
        <v>1228</v>
      </c>
      <c r="K9" s="877" t="s">
        <v>410</v>
      </c>
      <c r="L9" s="877" t="s">
        <v>411</v>
      </c>
      <c r="M9" s="877" t="s">
        <v>1229</v>
      </c>
      <c r="N9" s="877"/>
      <c r="O9" s="877"/>
      <c r="P9" s="877"/>
      <c r="Q9" s="877" t="s">
        <v>1230</v>
      </c>
      <c r="R9" s="877" t="s">
        <v>1231</v>
      </c>
      <c r="S9" s="877" t="s">
        <v>1232</v>
      </c>
      <c r="T9" s="879" t="s">
        <v>1233</v>
      </c>
      <c r="U9" s="1842"/>
    </row>
    <row r="10" spans="2:21" s="883" customFormat="1" x14ac:dyDescent="0.3">
      <c r="B10" s="880">
        <v>1</v>
      </c>
      <c r="C10" s="881" t="s">
        <v>1234</v>
      </c>
      <c r="D10" s="1820" t="s">
        <v>1199</v>
      </c>
      <c r="E10" s="1821"/>
      <c r="F10" s="1821"/>
      <c r="G10" s="1821"/>
      <c r="H10" s="1821"/>
      <c r="I10" s="1821"/>
      <c r="J10" s="1821"/>
      <c r="K10" s="1821"/>
      <c r="L10" s="1821"/>
      <c r="M10" s="1821"/>
      <c r="N10" s="1821"/>
      <c r="O10" s="1821"/>
      <c r="P10" s="1821"/>
      <c r="Q10" s="1821"/>
      <c r="R10" s="1821"/>
      <c r="S10" s="1821"/>
      <c r="T10" s="1821"/>
      <c r="U10" s="1822"/>
    </row>
    <row r="11" spans="2:21" x14ac:dyDescent="0.3">
      <c r="B11" s="884">
        <v>1.1000000000000001</v>
      </c>
      <c r="C11" s="885" t="s">
        <v>1235</v>
      </c>
      <c r="D11" s="1823"/>
      <c r="E11" s="1824"/>
      <c r="F11" s="1824"/>
      <c r="G11" s="1824"/>
      <c r="H11" s="1824"/>
      <c r="I11" s="1824"/>
      <c r="J11" s="1824"/>
      <c r="K11" s="1824"/>
      <c r="L11" s="1824"/>
      <c r="M11" s="1824"/>
      <c r="N11" s="1824"/>
      <c r="O11" s="1824"/>
      <c r="P11" s="1824"/>
      <c r="Q11" s="1824"/>
      <c r="R11" s="1824"/>
      <c r="S11" s="1824"/>
      <c r="T11" s="1824"/>
      <c r="U11" s="1825"/>
    </row>
    <row r="12" spans="2:21" x14ac:dyDescent="0.3">
      <c r="B12" s="884">
        <v>1.2</v>
      </c>
      <c r="C12" s="886" t="s">
        <v>1236</v>
      </c>
      <c r="D12" s="1823"/>
      <c r="E12" s="1824"/>
      <c r="F12" s="1824"/>
      <c r="G12" s="1824"/>
      <c r="H12" s="1824"/>
      <c r="I12" s="1824"/>
      <c r="J12" s="1824"/>
      <c r="K12" s="1824"/>
      <c r="L12" s="1824"/>
      <c r="M12" s="1824"/>
      <c r="N12" s="1824"/>
      <c r="O12" s="1824"/>
      <c r="P12" s="1824"/>
      <c r="Q12" s="1824"/>
      <c r="R12" s="1824"/>
      <c r="S12" s="1824"/>
      <c r="T12" s="1824"/>
      <c r="U12" s="1825"/>
    </row>
    <row r="13" spans="2:21" x14ac:dyDescent="0.3">
      <c r="B13" s="887">
        <v>1.3</v>
      </c>
      <c r="C13" s="886" t="s">
        <v>1237</v>
      </c>
      <c r="D13" s="1823"/>
      <c r="E13" s="1824"/>
      <c r="F13" s="1824"/>
      <c r="G13" s="1824"/>
      <c r="H13" s="1824"/>
      <c r="I13" s="1824"/>
      <c r="J13" s="1824"/>
      <c r="K13" s="1824"/>
      <c r="L13" s="1824"/>
      <c r="M13" s="1824"/>
      <c r="N13" s="1824"/>
      <c r="O13" s="1824"/>
      <c r="P13" s="1824"/>
      <c r="Q13" s="1824"/>
      <c r="R13" s="1824"/>
      <c r="S13" s="1824"/>
      <c r="T13" s="1824"/>
      <c r="U13" s="1825"/>
    </row>
    <row r="14" spans="2:21" s="883" customFormat="1" x14ac:dyDescent="0.3">
      <c r="B14" s="888"/>
      <c r="C14" s="889" t="s">
        <v>1238</v>
      </c>
      <c r="D14" s="1823"/>
      <c r="E14" s="1824"/>
      <c r="F14" s="1824"/>
      <c r="G14" s="1824"/>
      <c r="H14" s="1824"/>
      <c r="I14" s="1824"/>
      <c r="J14" s="1824"/>
      <c r="K14" s="1824"/>
      <c r="L14" s="1824"/>
      <c r="M14" s="1824"/>
      <c r="N14" s="1824"/>
      <c r="O14" s="1824"/>
      <c r="P14" s="1824"/>
      <c r="Q14" s="1824"/>
      <c r="R14" s="1824"/>
      <c r="S14" s="1824"/>
      <c r="T14" s="1824"/>
      <c r="U14" s="1825"/>
    </row>
    <row r="15" spans="2:21" s="883" customFormat="1" x14ac:dyDescent="0.3">
      <c r="B15" s="888"/>
      <c r="C15" s="889"/>
      <c r="D15" s="1823"/>
      <c r="E15" s="1824"/>
      <c r="F15" s="1824"/>
      <c r="G15" s="1824"/>
      <c r="H15" s="1824"/>
      <c r="I15" s="1824"/>
      <c r="J15" s="1824"/>
      <c r="K15" s="1824"/>
      <c r="L15" s="1824"/>
      <c r="M15" s="1824"/>
      <c r="N15" s="1824"/>
      <c r="O15" s="1824"/>
      <c r="P15" s="1824"/>
      <c r="Q15" s="1824"/>
      <c r="R15" s="1824"/>
      <c r="S15" s="1824"/>
      <c r="T15" s="1824"/>
      <c r="U15" s="1825"/>
    </row>
    <row r="16" spans="2:21" s="883" customFormat="1" x14ac:dyDescent="0.3">
      <c r="B16" s="890">
        <v>2</v>
      </c>
      <c r="C16" s="889" t="s">
        <v>1239</v>
      </c>
      <c r="D16" s="1823"/>
      <c r="E16" s="1824"/>
      <c r="F16" s="1824"/>
      <c r="G16" s="1824"/>
      <c r="H16" s="1824"/>
      <c r="I16" s="1824"/>
      <c r="J16" s="1824"/>
      <c r="K16" s="1824"/>
      <c r="L16" s="1824"/>
      <c r="M16" s="1824"/>
      <c r="N16" s="1824"/>
      <c r="O16" s="1824"/>
      <c r="P16" s="1824"/>
      <c r="Q16" s="1824"/>
      <c r="R16" s="1824"/>
      <c r="S16" s="1824"/>
      <c r="T16" s="1824"/>
      <c r="U16" s="1825"/>
    </row>
    <row r="17" spans="2:22" s="883" customFormat="1" x14ac:dyDescent="0.3">
      <c r="B17" s="890">
        <v>2.1</v>
      </c>
      <c r="C17" s="889" t="s">
        <v>1240</v>
      </c>
      <c r="D17" s="1823"/>
      <c r="E17" s="1824"/>
      <c r="F17" s="1824"/>
      <c r="G17" s="1824"/>
      <c r="H17" s="1824"/>
      <c r="I17" s="1824"/>
      <c r="J17" s="1824"/>
      <c r="K17" s="1824"/>
      <c r="L17" s="1824"/>
      <c r="M17" s="1824"/>
      <c r="N17" s="1824"/>
      <c r="O17" s="1824"/>
      <c r="P17" s="1824"/>
      <c r="Q17" s="1824"/>
      <c r="R17" s="1824"/>
      <c r="S17" s="1824"/>
      <c r="T17" s="1824"/>
      <c r="U17" s="1825"/>
    </row>
    <row r="18" spans="2:22" x14ac:dyDescent="0.3">
      <c r="B18" s="891" t="s">
        <v>110</v>
      </c>
      <c r="C18" s="892" t="s">
        <v>1241</v>
      </c>
      <c r="D18" s="1823"/>
      <c r="E18" s="1824"/>
      <c r="F18" s="1824"/>
      <c r="G18" s="1824"/>
      <c r="H18" s="1824"/>
      <c r="I18" s="1824"/>
      <c r="J18" s="1824"/>
      <c r="K18" s="1824"/>
      <c r="L18" s="1824"/>
      <c r="M18" s="1824"/>
      <c r="N18" s="1824"/>
      <c r="O18" s="1824"/>
      <c r="P18" s="1824"/>
      <c r="Q18" s="1824"/>
      <c r="R18" s="1824"/>
      <c r="S18" s="1824"/>
      <c r="T18" s="1824"/>
      <c r="U18" s="1825"/>
    </row>
    <row r="19" spans="2:22" x14ac:dyDescent="0.3">
      <c r="B19" s="891" t="s">
        <v>112</v>
      </c>
      <c r="C19" s="892" t="s">
        <v>1242</v>
      </c>
      <c r="D19" s="1823"/>
      <c r="E19" s="1824"/>
      <c r="F19" s="1824"/>
      <c r="G19" s="1824"/>
      <c r="H19" s="1824"/>
      <c r="I19" s="1824"/>
      <c r="J19" s="1824"/>
      <c r="K19" s="1824"/>
      <c r="L19" s="1824"/>
      <c r="M19" s="1824"/>
      <c r="N19" s="1824"/>
      <c r="O19" s="1824"/>
      <c r="P19" s="1824"/>
      <c r="Q19" s="1824"/>
      <c r="R19" s="1824"/>
      <c r="S19" s="1824"/>
      <c r="T19" s="1824"/>
      <c r="U19" s="1825"/>
    </row>
    <row r="20" spans="2:22" x14ac:dyDescent="0.3">
      <c r="B20" s="891" t="s">
        <v>114</v>
      </c>
      <c r="C20" s="892" t="s">
        <v>1243</v>
      </c>
      <c r="D20" s="1823"/>
      <c r="E20" s="1824"/>
      <c r="F20" s="1824"/>
      <c r="G20" s="1824"/>
      <c r="H20" s="1824"/>
      <c r="I20" s="1824"/>
      <c r="J20" s="1824"/>
      <c r="K20" s="1824"/>
      <c r="L20" s="1824"/>
      <c r="M20" s="1824"/>
      <c r="N20" s="1824"/>
      <c r="O20" s="1824"/>
      <c r="P20" s="1824"/>
      <c r="Q20" s="1824"/>
      <c r="R20" s="1824"/>
      <c r="S20" s="1824"/>
      <c r="T20" s="1824"/>
      <c r="U20" s="1825"/>
    </row>
    <row r="21" spans="2:22" x14ac:dyDescent="0.3">
      <c r="B21" s="891" t="s">
        <v>747</v>
      </c>
      <c r="C21" s="892" t="s">
        <v>1244</v>
      </c>
      <c r="D21" s="1823"/>
      <c r="E21" s="1824"/>
      <c r="F21" s="1824"/>
      <c r="G21" s="1824"/>
      <c r="H21" s="1824"/>
      <c r="I21" s="1824"/>
      <c r="J21" s="1824"/>
      <c r="K21" s="1824"/>
      <c r="L21" s="1824"/>
      <c r="M21" s="1824"/>
      <c r="N21" s="1824"/>
      <c r="O21" s="1824"/>
      <c r="P21" s="1824"/>
      <c r="Q21" s="1824"/>
      <c r="R21" s="1824"/>
      <c r="S21" s="1824"/>
      <c r="T21" s="1824"/>
      <c r="U21" s="1825"/>
    </row>
    <row r="22" spans="2:22" x14ac:dyDescent="0.3">
      <c r="B22" s="891" t="s">
        <v>859</v>
      </c>
      <c r="C22" s="892" t="s">
        <v>1245</v>
      </c>
      <c r="D22" s="1823"/>
      <c r="E22" s="1824"/>
      <c r="F22" s="1824"/>
      <c r="G22" s="1824"/>
      <c r="H22" s="1824"/>
      <c r="I22" s="1824"/>
      <c r="J22" s="1824"/>
      <c r="K22" s="1824"/>
      <c r="L22" s="1824"/>
      <c r="M22" s="1824"/>
      <c r="N22" s="1824"/>
      <c r="O22" s="1824"/>
      <c r="P22" s="1824"/>
      <c r="Q22" s="1824"/>
      <c r="R22" s="1824"/>
      <c r="S22" s="1824"/>
      <c r="T22" s="1824"/>
      <c r="U22" s="1825"/>
    </row>
    <row r="23" spans="2:22" x14ac:dyDescent="0.3">
      <c r="B23" s="891" t="s">
        <v>860</v>
      </c>
      <c r="C23" s="892" t="s">
        <v>1246</v>
      </c>
      <c r="D23" s="1823"/>
      <c r="E23" s="1824"/>
      <c r="F23" s="1824"/>
      <c r="G23" s="1824"/>
      <c r="H23" s="1824"/>
      <c r="I23" s="1824"/>
      <c r="J23" s="1824"/>
      <c r="K23" s="1824"/>
      <c r="L23" s="1824"/>
      <c r="M23" s="1824"/>
      <c r="N23" s="1824"/>
      <c r="O23" s="1824"/>
      <c r="P23" s="1824"/>
      <c r="Q23" s="1824"/>
      <c r="R23" s="1824"/>
      <c r="S23" s="1824"/>
      <c r="T23" s="1824"/>
      <c r="U23" s="1825"/>
    </row>
    <row r="24" spans="2:22" x14ac:dyDescent="0.3">
      <c r="B24" s="891" t="s">
        <v>861</v>
      </c>
      <c r="C24" s="892" t="s">
        <v>1247</v>
      </c>
      <c r="D24" s="1823"/>
      <c r="E24" s="1824"/>
      <c r="F24" s="1824"/>
      <c r="G24" s="1824"/>
      <c r="H24" s="1824"/>
      <c r="I24" s="1824"/>
      <c r="J24" s="1824"/>
      <c r="K24" s="1824"/>
      <c r="L24" s="1824"/>
      <c r="M24" s="1824"/>
      <c r="N24" s="1824"/>
      <c r="O24" s="1824"/>
      <c r="P24" s="1824"/>
      <c r="Q24" s="1824"/>
      <c r="R24" s="1824"/>
      <c r="S24" s="1824"/>
      <c r="T24" s="1824"/>
      <c r="U24" s="1825"/>
    </row>
    <row r="25" spans="2:22" x14ac:dyDescent="0.3">
      <c r="B25" s="891" t="s">
        <v>1248</v>
      </c>
      <c r="C25" s="892" t="s">
        <v>1249</v>
      </c>
      <c r="D25" s="1823"/>
      <c r="E25" s="1824"/>
      <c r="F25" s="1824"/>
      <c r="G25" s="1824"/>
      <c r="H25" s="1824"/>
      <c r="I25" s="1824"/>
      <c r="J25" s="1824"/>
      <c r="K25" s="1824"/>
      <c r="L25" s="1824"/>
      <c r="M25" s="1824"/>
      <c r="N25" s="1824"/>
      <c r="O25" s="1824"/>
      <c r="P25" s="1824"/>
      <c r="Q25" s="1824"/>
      <c r="R25" s="1824"/>
      <c r="S25" s="1824"/>
      <c r="T25" s="1824"/>
      <c r="U25" s="1825"/>
    </row>
    <row r="26" spans="2:22" x14ac:dyDescent="0.3">
      <c r="B26" s="891"/>
      <c r="C26" s="892"/>
      <c r="D26" s="1823"/>
      <c r="E26" s="1824"/>
      <c r="F26" s="1824"/>
      <c r="G26" s="1824"/>
      <c r="H26" s="1824"/>
      <c r="I26" s="1824"/>
      <c r="J26" s="1824"/>
      <c r="K26" s="1824"/>
      <c r="L26" s="1824"/>
      <c r="M26" s="1824"/>
      <c r="N26" s="1824"/>
      <c r="O26" s="1824"/>
      <c r="P26" s="1824"/>
      <c r="Q26" s="1824"/>
      <c r="R26" s="1824"/>
      <c r="S26" s="1824"/>
      <c r="T26" s="1824"/>
      <c r="U26" s="1825"/>
    </row>
    <row r="27" spans="2:22" s="883" customFormat="1" x14ac:dyDescent="0.3">
      <c r="B27" s="890">
        <v>2.2000000000000002</v>
      </c>
      <c r="C27" s="889" t="s">
        <v>1250</v>
      </c>
      <c r="D27" s="1823"/>
      <c r="E27" s="1824"/>
      <c r="F27" s="1824"/>
      <c r="G27" s="1824"/>
      <c r="H27" s="1824"/>
      <c r="I27" s="1824"/>
      <c r="J27" s="1824"/>
      <c r="K27" s="1824"/>
      <c r="L27" s="1824"/>
      <c r="M27" s="1824"/>
      <c r="N27" s="1824"/>
      <c r="O27" s="1824"/>
      <c r="P27" s="1824"/>
      <c r="Q27" s="1824"/>
      <c r="R27" s="1824"/>
      <c r="S27" s="1824"/>
      <c r="T27" s="1824"/>
      <c r="U27" s="1825"/>
      <c r="V27" s="893"/>
    </row>
    <row r="28" spans="2:22" x14ac:dyDescent="0.3">
      <c r="B28" s="891" t="s">
        <v>117</v>
      </c>
      <c r="C28" s="892" t="s">
        <v>1251</v>
      </c>
      <c r="D28" s="1823"/>
      <c r="E28" s="1824"/>
      <c r="F28" s="1824"/>
      <c r="G28" s="1824"/>
      <c r="H28" s="1824"/>
      <c r="I28" s="1824"/>
      <c r="J28" s="1824"/>
      <c r="K28" s="1824"/>
      <c r="L28" s="1824"/>
      <c r="M28" s="1824"/>
      <c r="N28" s="1824"/>
      <c r="O28" s="1824"/>
      <c r="P28" s="1824"/>
      <c r="Q28" s="1824"/>
      <c r="R28" s="1824"/>
      <c r="S28" s="1824"/>
      <c r="T28" s="1824"/>
      <c r="U28" s="1825"/>
      <c r="V28" s="894"/>
    </row>
    <row r="29" spans="2:22" ht="29.4" customHeight="1" x14ac:dyDescent="0.3">
      <c r="B29" s="891" t="s">
        <v>119</v>
      </c>
      <c r="C29" s="892" t="s">
        <v>1252</v>
      </c>
      <c r="D29" s="1823"/>
      <c r="E29" s="1824"/>
      <c r="F29" s="1824"/>
      <c r="G29" s="1824"/>
      <c r="H29" s="1824"/>
      <c r="I29" s="1824"/>
      <c r="J29" s="1824"/>
      <c r="K29" s="1824"/>
      <c r="L29" s="1824"/>
      <c r="M29" s="1824"/>
      <c r="N29" s="1824"/>
      <c r="O29" s="1824"/>
      <c r="P29" s="1824"/>
      <c r="Q29" s="1824"/>
      <c r="R29" s="1824"/>
      <c r="S29" s="1824"/>
      <c r="T29" s="1824"/>
      <c r="U29" s="1825"/>
      <c r="V29" s="894"/>
    </row>
    <row r="30" spans="2:22" x14ac:dyDescent="0.3">
      <c r="B30" s="891" t="s">
        <v>120</v>
      </c>
      <c r="C30" s="892" t="s">
        <v>1253</v>
      </c>
      <c r="D30" s="1823"/>
      <c r="E30" s="1824"/>
      <c r="F30" s="1824"/>
      <c r="G30" s="1824"/>
      <c r="H30" s="1824"/>
      <c r="I30" s="1824"/>
      <c r="J30" s="1824"/>
      <c r="K30" s="1824"/>
      <c r="L30" s="1824"/>
      <c r="M30" s="1824"/>
      <c r="N30" s="1824"/>
      <c r="O30" s="1824"/>
      <c r="P30" s="1824"/>
      <c r="Q30" s="1824"/>
      <c r="R30" s="1824"/>
      <c r="S30" s="1824"/>
      <c r="T30" s="1824"/>
      <c r="U30" s="1825"/>
    </row>
    <row r="31" spans="2:22" x14ac:dyDescent="0.3">
      <c r="B31" s="891" t="s">
        <v>752</v>
      </c>
      <c r="C31" s="892" t="s">
        <v>1254</v>
      </c>
      <c r="D31" s="1823"/>
      <c r="E31" s="1824"/>
      <c r="F31" s="1824"/>
      <c r="G31" s="1824"/>
      <c r="H31" s="1824"/>
      <c r="I31" s="1824"/>
      <c r="J31" s="1824"/>
      <c r="K31" s="1824"/>
      <c r="L31" s="1824"/>
      <c r="M31" s="1824"/>
      <c r="N31" s="1824"/>
      <c r="O31" s="1824"/>
      <c r="P31" s="1824"/>
      <c r="Q31" s="1824"/>
      <c r="R31" s="1824"/>
      <c r="S31" s="1824"/>
      <c r="T31" s="1824"/>
      <c r="U31" s="1825"/>
    </row>
    <row r="32" spans="2:22" ht="28" x14ac:dyDescent="0.3">
      <c r="B32" s="891" t="s">
        <v>862</v>
      </c>
      <c r="C32" s="892" t="s">
        <v>1255</v>
      </c>
      <c r="D32" s="1823"/>
      <c r="E32" s="1824"/>
      <c r="F32" s="1824"/>
      <c r="G32" s="1824"/>
      <c r="H32" s="1824"/>
      <c r="I32" s="1824"/>
      <c r="J32" s="1824"/>
      <c r="K32" s="1824"/>
      <c r="L32" s="1824"/>
      <c r="M32" s="1824"/>
      <c r="N32" s="1824"/>
      <c r="O32" s="1824"/>
      <c r="P32" s="1824"/>
      <c r="Q32" s="1824"/>
      <c r="R32" s="1824"/>
      <c r="S32" s="1824"/>
      <c r="T32" s="1824"/>
      <c r="U32" s="1825"/>
      <c r="V32" s="869"/>
    </row>
    <row r="33" spans="2:21" x14ac:dyDescent="0.3">
      <c r="B33" s="891" t="s">
        <v>863</v>
      </c>
      <c r="C33" s="892" t="s">
        <v>1256</v>
      </c>
      <c r="D33" s="1823"/>
      <c r="E33" s="1824"/>
      <c r="F33" s="1824"/>
      <c r="G33" s="1824"/>
      <c r="H33" s="1824"/>
      <c r="I33" s="1824"/>
      <c r="J33" s="1824"/>
      <c r="K33" s="1824"/>
      <c r="L33" s="1824"/>
      <c r="M33" s="1824"/>
      <c r="N33" s="1824"/>
      <c r="O33" s="1824"/>
      <c r="P33" s="1824"/>
      <c r="Q33" s="1824"/>
      <c r="R33" s="1824"/>
      <c r="S33" s="1824"/>
      <c r="T33" s="1824"/>
      <c r="U33" s="1825"/>
    </row>
    <row r="34" spans="2:21" x14ac:dyDescent="0.3">
      <c r="B34" s="891" t="s">
        <v>864</v>
      </c>
      <c r="C34" s="892" t="s">
        <v>1257</v>
      </c>
      <c r="D34" s="1823"/>
      <c r="E34" s="1824"/>
      <c r="F34" s="1824"/>
      <c r="G34" s="1824"/>
      <c r="H34" s="1824"/>
      <c r="I34" s="1824"/>
      <c r="J34" s="1824"/>
      <c r="K34" s="1824"/>
      <c r="L34" s="1824"/>
      <c r="M34" s="1824"/>
      <c r="N34" s="1824"/>
      <c r="O34" s="1824"/>
      <c r="P34" s="1824"/>
      <c r="Q34" s="1824"/>
      <c r="R34" s="1824"/>
      <c r="S34" s="1824"/>
      <c r="T34" s="1824"/>
      <c r="U34" s="1825"/>
    </row>
    <row r="35" spans="2:21" ht="17.399999999999999" customHeight="1" x14ac:dyDescent="0.3">
      <c r="B35" s="891" t="s">
        <v>1258</v>
      </c>
      <c r="C35" s="892" t="s">
        <v>1259</v>
      </c>
      <c r="D35" s="1823"/>
      <c r="E35" s="1824"/>
      <c r="F35" s="1824"/>
      <c r="G35" s="1824"/>
      <c r="H35" s="1824"/>
      <c r="I35" s="1824"/>
      <c r="J35" s="1824"/>
      <c r="K35" s="1824"/>
      <c r="L35" s="1824"/>
      <c r="M35" s="1824"/>
      <c r="N35" s="1824"/>
      <c r="O35" s="1824"/>
      <c r="P35" s="1824"/>
      <c r="Q35" s="1824"/>
      <c r="R35" s="1824"/>
      <c r="S35" s="1824"/>
      <c r="T35" s="1824"/>
      <c r="U35" s="1825"/>
    </row>
    <row r="36" spans="2:21" x14ac:dyDescent="0.3">
      <c r="B36" s="891" t="s">
        <v>1260</v>
      </c>
      <c r="C36" s="892" t="s">
        <v>1261</v>
      </c>
      <c r="D36" s="1823"/>
      <c r="E36" s="1824"/>
      <c r="F36" s="1824"/>
      <c r="G36" s="1824"/>
      <c r="H36" s="1824"/>
      <c r="I36" s="1824"/>
      <c r="J36" s="1824"/>
      <c r="K36" s="1824"/>
      <c r="L36" s="1824"/>
      <c r="M36" s="1824"/>
      <c r="N36" s="1824"/>
      <c r="O36" s="1824"/>
      <c r="P36" s="1824"/>
      <c r="Q36" s="1824"/>
      <c r="R36" s="1824"/>
      <c r="S36" s="1824"/>
      <c r="T36" s="1824"/>
      <c r="U36" s="1825"/>
    </row>
    <row r="37" spans="2:21" s="883" customFormat="1" x14ac:dyDescent="0.3">
      <c r="B37" s="891" t="s">
        <v>1262</v>
      </c>
      <c r="C37" s="886" t="s">
        <v>1263</v>
      </c>
      <c r="D37" s="1823"/>
      <c r="E37" s="1824"/>
      <c r="F37" s="1824"/>
      <c r="G37" s="1824"/>
      <c r="H37" s="1824"/>
      <c r="I37" s="1824"/>
      <c r="J37" s="1824"/>
      <c r="K37" s="1824"/>
      <c r="L37" s="1824"/>
      <c r="M37" s="1824"/>
      <c r="N37" s="1824"/>
      <c r="O37" s="1824"/>
      <c r="P37" s="1824"/>
      <c r="Q37" s="1824"/>
      <c r="R37" s="1824"/>
      <c r="S37" s="1824"/>
      <c r="T37" s="1824"/>
      <c r="U37" s="1825"/>
    </row>
    <row r="38" spans="2:21" x14ac:dyDescent="0.3">
      <c r="B38" s="891" t="s">
        <v>1264</v>
      </c>
      <c r="C38" s="892" t="s">
        <v>1265</v>
      </c>
      <c r="D38" s="1823"/>
      <c r="E38" s="1824"/>
      <c r="F38" s="1824"/>
      <c r="G38" s="1824"/>
      <c r="H38" s="1824"/>
      <c r="I38" s="1824"/>
      <c r="J38" s="1824"/>
      <c r="K38" s="1824"/>
      <c r="L38" s="1824"/>
      <c r="M38" s="1824"/>
      <c r="N38" s="1824"/>
      <c r="O38" s="1824"/>
      <c r="P38" s="1824"/>
      <c r="Q38" s="1824"/>
      <c r="R38" s="1824"/>
      <c r="S38" s="1824"/>
      <c r="T38" s="1824"/>
      <c r="U38" s="1825"/>
    </row>
    <row r="39" spans="2:21" x14ac:dyDescent="0.3">
      <c r="B39" s="891" t="s">
        <v>1266</v>
      </c>
      <c r="C39" s="892" t="s">
        <v>1267</v>
      </c>
      <c r="D39" s="1823"/>
      <c r="E39" s="1824"/>
      <c r="F39" s="1824"/>
      <c r="G39" s="1824"/>
      <c r="H39" s="1824"/>
      <c r="I39" s="1824"/>
      <c r="J39" s="1824"/>
      <c r="K39" s="1824"/>
      <c r="L39" s="1824"/>
      <c r="M39" s="1824"/>
      <c r="N39" s="1824"/>
      <c r="O39" s="1824"/>
      <c r="P39" s="1824"/>
      <c r="Q39" s="1824"/>
      <c r="R39" s="1824"/>
      <c r="S39" s="1824"/>
      <c r="T39" s="1824"/>
      <c r="U39" s="1825"/>
    </row>
    <row r="40" spans="2:21" x14ac:dyDescent="0.3">
      <c r="B40" s="891" t="s">
        <v>1268</v>
      </c>
      <c r="C40" s="892" t="s">
        <v>1269</v>
      </c>
      <c r="D40" s="1823"/>
      <c r="E40" s="1824"/>
      <c r="F40" s="1824"/>
      <c r="G40" s="1824"/>
      <c r="H40" s="1824"/>
      <c r="I40" s="1824"/>
      <c r="J40" s="1824"/>
      <c r="K40" s="1824"/>
      <c r="L40" s="1824"/>
      <c r="M40" s="1824"/>
      <c r="N40" s="1824"/>
      <c r="O40" s="1824"/>
      <c r="P40" s="1824"/>
      <c r="Q40" s="1824"/>
      <c r="R40" s="1824"/>
      <c r="S40" s="1824"/>
      <c r="T40" s="1824"/>
      <c r="U40" s="1825"/>
    </row>
    <row r="41" spans="2:21" x14ac:dyDescent="0.3">
      <c r="B41" s="891" t="s">
        <v>1270</v>
      </c>
      <c r="C41" s="892" t="s">
        <v>1271</v>
      </c>
      <c r="D41" s="1823"/>
      <c r="E41" s="1824"/>
      <c r="F41" s="1824"/>
      <c r="G41" s="1824"/>
      <c r="H41" s="1824"/>
      <c r="I41" s="1824"/>
      <c r="J41" s="1824"/>
      <c r="K41" s="1824"/>
      <c r="L41" s="1824"/>
      <c r="M41" s="1824"/>
      <c r="N41" s="1824"/>
      <c r="O41" s="1824"/>
      <c r="P41" s="1824"/>
      <c r="Q41" s="1824"/>
      <c r="R41" s="1824"/>
      <c r="S41" s="1824"/>
      <c r="T41" s="1824"/>
      <c r="U41" s="1825"/>
    </row>
    <row r="42" spans="2:21" x14ac:dyDescent="0.3">
      <c r="B42" s="891" t="s">
        <v>1272</v>
      </c>
      <c r="C42" s="892" t="s">
        <v>1273</v>
      </c>
      <c r="D42" s="1823"/>
      <c r="E42" s="1824"/>
      <c r="F42" s="1824"/>
      <c r="G42" s="1824"/>
      <c r="H42" s="1824"/>
      <c r="I42" s="1824"/>
      <c r="J42" s="1824"/>
      <c r="K42" s="1824"/>
      <c r="L42" s="1824"/>
      <c r="M42" s="1824"/>
      <c r="N42" s="1824"/>
      <c r="O42" s="1824"/>
      <c r="P42" s="1824"/>
      <c r="Q42" s="1824"/>
      <c r="R42" s="1824"/>
      <c r="S42" s="1824"/>
      <c r="T42" s="1824"/>
      <c r="U42" s="1825"/>
    </row>
    <row r="43" spans="2:21" x14ac:dyDescent="0.3">
      <c r="B43" s="891" t="s">
        <v>1274</v>
      </c>
      <c r="C43" s="892" t="s">
        <v>1275</v>
      </c>
      <c r="D43" s="1823"/>
      <c r="E43" s="1824"/>
      <c r="F43" s="1824"/>
      <c r="G43" s="1824"/>
      <c r="H43" s="1824"/>
      <c r="I43" s="1824"/>
      <c r="J43" s="1824"/>
      <c r="K43" s="1824"/>
      <c r="L43" s="1824"/>
      <c r="M43" s="1824"/>
      <c r="N43" s="1824"/>
      <c r="O43" s="1824"/>
      <c r="P43" s="1824"/>
      <c r="Q43" s="1824"/>
      <c r="R43" s="1824"/>
      <c r="S43" s="1824"/>
      <c r="T43" s="1824"/>
      <c r="U43" s="1825"/>
    </row>
    <row r="44" spans="2:21" x14ac:dyDescent="0.3">
      <c r="B44" s="891" t="s">
        <v>1276</v>
      </c>
      <c r="C44" s="892" t="s">
        <v>1277</v>
      </c>
      <c r="D44" s="1823"/>
      <c r="E44" s="1824"/>
      <c r="F44" s="1824"/>
      <c r="G44" s="1824"/>
      <c r="H44" s="1824"/>
      <c r="I44" s="1824"/>
      <c r="J44" s="1824"/>
      <c r="K44" s="1824"/>
      <c r="L44" s="1824"/>
      <c r="M44" s="1824"/>
      <c r="N44" s="1824"/>
      <c r="O44" s="1824"/>
      <c r="P44" s="1824"/>
      <c r="Q44" s="1824"/>
      <c r="R44" s="1824"/>
      <c r="S44" s="1824"/>
      <c r="T44" s="1824"/>
      <c r="U44" s="1825"/>
    </row>
    <row r="45" spans="2:21" x14ac:dyDescent="0.3">
      <c r="B45" s="891"/>
      <c r="C45" s="892"/>
      <c r="D45" s="1823"/>
      <c r="E45" s="1824"/>
      <c r="F45" s="1824"/>
      <c r="G45" s="1824"/>
      <c r="H45" s="1824"/>
      <c r="I45" s="1824"/>
      <c r="J45" s="1824"/>
      <c r="K45" s="1824"/>
      <c r="L45" s="1824"/>
      <c r="M45" s="1824"/>
      <c r="N45" s="1824"/>
      <c r="O45" s="1824"/>
      <c r="P45" s="1824"/>
      <c r="Q45" s="1824"/>
      <c r="R45" s="1824"/>
      <c r="S45" s="1824"/>
      <c r="T45" s="1824"/>
      <c r="U45" s="1825"/>
    </row>
    <row r="46" spans="2:21" s="883" customFormat="1" x14ac:dyDescent="0.3">
      <c r="B46" s="890">
        <v>2.2999999999999998</v>
      </c>
      <c r="C46" s="889" t="s">
        <v>1278</v>
      </c>
      <c r="D46" s="1823"/>
      <c r="E46" s="1824"/>
      <c r="F46" s="1824"/>
      <c r="G46" s="1824"/>
      <c r="H46" s="1824"/>
      <c r="I46" s="1824"/>
      <c r="J46" s="1824"/>
      <c r="K46" s="1824"/>
      <c r="L46" s="1824"/>
      <c r="M46" s="1824"/>
      <c r="N46" s="1824"/>
      <c r="O46" s="1824"/>
      <c r="P46" s="1824"/>
      <c r="Q46" s="1824"/>
      <c r="R46" s="1824"/>
      <c r="S46" s="1824"/>
      <c r="T46" s="1824"/>
      <c r="U46" s="1825"/>
    </row>
    <row r="47" spans="2:21" x14ac:dyDescent="0.3">
      <c r="B47" s="891" t="s">
        <v>1279</v>
      </c>
      <c r="C47" s="892" t="s">
        <v>1280</v>
      </c>
      <c r="D47" s="1823"/>
      <c r="E47" s="1824"/>
      <c r="F47" s="1824"/>
      <c r="G47" s="1824"/>
      <c r="H47" s="1824"/>
      <c r="I47" s="1824"/>
      <c r="J47" s="1824"/>
      <c r="K47" s="1824"/>
      <c r="L47" s="1824"/>
      <c r="M47" s="1824"/>
      <c r="N47" s="1824"/>
      <c r="O47" s="1824"/>
      <c r="P47" s="1824"/>
      <c r="Q47" s="1824"/>
      <c r="R47" s="1824"/>
      <c r="S47" s="1824"/>
      <c r="T47" s="1824"/>
      <c r="U47" s="1825"/>
    </row>
    <row r="48" spans="2:21" x14ac:dyDescent="0.3">
      <c r="B48" s="891" t="s">
        <v>1281</v>
      </c>
      <c r="C48" s="892" t="s">
        <v>1282</v>
      </c>
      <c r="D48" s="1823"/>
      <c r="E48" s="1824"/>
      <c r="F48" s="1824"/>
      <c r="G48" s="1824"/>
      <c r="H48" s="1824"/>
      <c r="I48" s="1824"/>
      <c r="J48" s="1824"/>
      <c r="K48" s="1824"/>
      <c r="L48" s="1824"/>
      <c r="M48" s="1824"/>
      <c r="N48" s="1824"/>
      <c r="O48" s="1824"/>
      <c r="P48" s="1824"/>
      <c r="Q48" s="1824"/>
      <c r="R48" s="1824"/>
      <c r="S48" s="1824"/>
      <c r="T48" s="1824"/>
      <c r="U48" s="1825"/>
    </row>
    <row r="49" spans="2:21" x14ac:dyDescent="0.3">
      <c r="B49" s="891" t="s">
        <v>1283</v>
      </c>
      <c r="C49" s="892" t="s">
        <v>1284</v>
      </c>
      <c r="D49" s="1823"/>
      <c r="E49" s="1824"/>
      <c r="F49" s="1824"/>
      <c r="G49" s="1824"/>
      <c r="H49" s="1824"/>
      <c r="I49" s="1824"/>
      <c r="J49" s="1824"/>
      <c r="K49" s="1824"/>
      <c r="L49" s="1824"/>
      <c r="M49" s="1824"/>
      <c r="N49" s="1824"/>
      <c r="O49" s="1824"/>
      <c r="P49" s="1824"/>
      <c r="Q49" s="1824"/>
      <c r="R49" s="1824"/>
      <c r="S49" s="1824"/>
      <c r="T49" s="1824"/>
      <c r="U49" s="1825"/>
    </row>
    <row r="50" spans="2:21" x14ac:dyDescent="0.3">
      <c r="B50" s="891" t="s">
        <v>1285</v>
      </c>
      <c r="C50" s="892" t="s">
        <v>1286</v>
      </c>
      <c r="D50" s="1823"/>
      <c r="E50" s="1824"/>
      <c r="F50" s="1824"/>
      <c r="G50" s="1824"/>
      <c r="H50" s="1824"/>
      <c r="I50" s="1824"/>
      <c r="J50" s="1824"/>
      <c r="K50" s="1824"/>
      <c r="L50" s="1824"/>
      <c r="M50" s="1824"/>
      <c r="N50" s="1824"/>
      <c r="O50" s="1824"/>
      <c r="P50" s="1824"/>
      <c r="Q50" s="1824"/>
      <c r="R50" s="1824"/>
      <c r="S50" s="1824"/>
      <c r="T50" s="1824"/>
      <c r="U50" s="1825"/>
    </row>
    <row r="51" spans="2:21" x14ac:dyDescent="0.3">
      <c r="B51" s="891" t="s">
        <v>1287</v>
      </c>
      <c r="C51" s="892" t="s">
        <v>1288</v>
      </c>
      <c r="D51" s="1823"/>
      <c r="E51" s="1824"/>
      <c r="F51" s="1824"/>
      <c r="G51" s="1824"/>
      <c r="H51" s="1824"/>
      <c r="I51" s="1824"/>
      <c r="J51" s="1824"/>
      <c r="K51" s="1824"/>
      <c r="L51" s="1824"/>
      <c r="M51" s="1824"/>
      <c r="N51" s="1824"/>
      <c r="O51" s="1824"/>
      <c r="P51" s="1824"/>
      <c r="Q51" s="1824"/>
      <c r="R51" s="1824"/>
      <c r="S51" s="1824"/>
      <c r="T51" s="1824"/>
      <c r="U51" s="1825"/>
    </row>
    <row r="52" spans="2:21" x14ac:dyDescent="0.3">
      <c r="B52" s="891" t="s">
        <v>1289</v>
      </c>
      <c r="C52" s="892" t="s">
        <v>1290</v>
      </c>
      <c r="D52" s="1823"/>
      <c r="E52" s="1824"/>
      <c r="F52" s="1824"/>
      <c r="G52" s="1824"/>
      <c r="H52" s="1824"/>
      <c r="I52" s="1824"/>
      <c r="J52" s="1824"/>
      <c r="K52" s="1824"/>
      <c r="L52" s="1824"/>
      <c r="M52" s="1824"/>
      <c r="N52" s="1824"/>
      <c r="O52" s="1824"/>
      <c r="P52" s="1824"/>
      <c r="Q52" s="1824"/>
      <c r="R52" s="1824"/>
      <c r="S52" s="1824"/>
      <c r="T52" s="1824"/>
      <c r="U52" s="1825"/>
    </row>
    <row r="53" spans="2:21" x14ac:dyDescent="0.3">
      <c r="B53" s="891" t="s">
        <v>1291</v>
      </c>
      <c r="C53" s="892" t="s">
        <v>1292</v>
      </c>
      <c r="D53" s="1823"/>
      <c r="E53" s="1824"/>
      <c r="F53" s="1824"/>
      <c r="G53" s="1824"/>
      <c r="H53" s="1824"/>
      <c r="I53" s="1824"/>
      <c r="J53" s="1824"/>
      <c r="K53" s="1824"/>
      <c r="L53" s="1824"/>
      <c r="M53" s="1824"/>
      <c r="N53" s="1824"/>
      <c r="O53" s="1824"/>
      <c r="P53" s="1824"/>
      <c r="Q53" s="1824"/>
      <c r="R53" s="1824"/>
      <c r="S53" s="1824"/>
      <c r="T53" s="1824"/>
      <c r="U53" s="1825"/>
    </row>
    <row r="54" spans="2:21" x14ac:dyDescent="0.3">
      <c r="B54" s="891" t="s">
        <v>1293</v>
      </c>
      <c r="C54" s="892" t="s">
        <v>1294</v>
      </c>
      <c r="D54" s="1823"/>
      <c r="E54" s="1824"/>
      <c r="F54" s="1824"/>
      <c r="G54" s="1824"/>
      <c r="H54" s="1824"/>
      <c r="I54" s="1824"/>
      <c r="J54" s="1824"/>
      <c r="K54" s="1824"/>
      <c r="L54" s="1824"/>
      <c r="M54" s="1824"/>
      <c r="N54" s="1824"/>
      <c r="O54" s="1824"/>
      <c r="P54" s="1824"/>
      <c r="Q54" s="1824"/>
      <c r="R54" s="1824"/>
      <c r="S54" s="1824"/>
      <c r="T54" s="1824"/>
      <c r="U54" s="1825"/>
    </row>
    <row r="55" spans="2:21" x14ac:dyDescent="0.3">
      <c r="B55" s="891" t="s">
        <v>1295</v>
      </c>
      <c r="C55" s="892" t="s">
        <v>1296</v>
      </c>
      <c r="D55" s="1823"/>
      <c r="E55" s="1824"/>
      <c r="F55" s="1824"/>
      <c r="G55" s="1824"/>
      <c r="H55" s="1824"/>
      <c r="I55" s="1824"/>
      <c r="J55" s="1824"/>
      <c r="K55" s="1824"/>
      <c r="L55" s="1824"/>
      <c r="M55" s="1824"/>
      <c r="N55" s="1824"/>
      <c r="O55" s="1824"/>
      <c r="P55" s="1824"/>
      <c r="Q55" s="1824"/>
      <c r="R55" s="1824"/>
      <c r="S55" s="1824"/>
      <c r="T55" s="1824"/>
      <c r="U55" s="1825"/>
    </row>
    <row r="56" spans="2:21" x14ac:dyDescent="0.3">
      <c r="B56" s="891" t="s">
        <v>1297</v>
      </c>
      <c r="C56" s="892" t="s">
        <v>1298</v>
      </c>
      <c r="D56" s="1823"/>
      <c r="E56" s="1824"/>
      <c r="F56" s="1824"/>
      <c r="G56" s="1824"/>
      <c r="H56" s="1824"/>
      <c r="I56" s="1824"/>
      <c r="J56" s="1824"/>
      <c r="K56" s="1824"/>
      <c r="L56" s="1824"/>
      <c r="M56" s="1824"/>
      <c r="N56" s="1824"/>
      <c r="O56" s="1824"/>
      <c r="P56" s="1824"/>
      <c r="Q56" s="1824"/>
      <c r="R56" s="1824"/>
      <c r="S56" s="1824"/>
      <c r="T56" s="1824"/>
      <c r="U56" s="1825"/>
    </row>
    <row r="57" spans="2:21" x14ac:dyDescent="0.3">
      <c r="B57" s="891" t="s">
        <v>1299</v>
      </c>
      <c r="C57" s="892" t="s">
        <v>1300</v>
      </c>
      <c r="D57" s="1823"/>
      <c r="E57" s="1824"/>
      <c r="F57" s="1824"/>
      <c r="G57" s="1824"/>
      <c r="H57" s="1824"/>
      <c r="I57" s="1824"/>
      <c r="J57" s="1824"/>
      <c r="K57" s="1824"/>
      <c r="L57" s="1824"/>
      <c r="M57" s="1824"/>
      <c r="N57" s="1824"/>
      <c r="O57" s="1824"/>
      <c r="P57" s="1824"/>
      <c r="Q57" s="1824"/>
      <c r="R57" s="1824"/>
      <c r="S57" s="1824"/>
      <c r="T57" s="1824"/>
      <c r="U57" s="1825"/>
    </row>
    <row r="58" spans="2:21" x14ac:dyDescent="0.3">
      <c r="B58" s="891" t="s">
        <v>1301</v>
      </c>
      <c r="C58" s="892" t="s">
        <v>1302</v>
      </c>
      <c r="D58" s="1823"/>
      <c r="E58" s="1824"/>
      <c r="F58" s="1824"/>
      <c r="G58" s="1824"/>
      <c r="H58" s="1824"/>
      <c r="I58" s="1824"/>
      <c r="J58" s="1824"/>
      <c r="K58" s="1824"/>
      <c r="L58" s="1824"/>
      <c r="M58" s="1824"/>
      <c r="N58" s="1824"/>
      <c r="O58" s="1824"/>
      <c r="P58" s="1824"/>
      <c r="Q58" s="1824"/>
      <c r="R58" s="1824"/>
      <c r="S58" s="1824"/>
      <c r="T58" s="1824"/>
      <c r="U58" s="1825"/>
    </row>
    <row r="59" spans="2:21" x14ac:dyDescent="0.3">
      <c r="B59" s="891" t="s">
        <v>1303</v>
      </c>
      <c r="C59" s="892" t="s">
        <v>1304</v>
      </c>
      <c r="D59" s="1823"/>
      <c r="E59" s="1824"/>
      <c r="F59" s="1824"/>
      <c r="G59" s="1824"/>
      <c r="H59" s="1824"/>
      <c r="I59" s="1824"/>
      <c r="J59" s="1824"/>
      <c r="K59" s="1824"/>
      <c r="L59" s="1824"/>
      <c r="M59" s="1824"/>
      <c r="N59" s="1824"/>
      <c r="O59" s="1824"/>
      <c r="P59" s="1824"/>
      <c r="Q59" s="1824"/>
      <c r="R59" s="1824"/>
      <c r="S59" s="1824"/>
      <c r="T59" s="1824"/>
      <c r="U59" s="1825"/>
    </row>
    <row r="60" spans="2:21" x14ac:dyDescent="0.3">
      <c r="B60" s="891" t="s">
        <v>1305</v>
      </c>
      <c r="C60" s="892" t="s">
        <v>1306</v>
      </c>
      <c r="D60" s="1823"/>
      <c r="E60" s="1824"/>
      <c r="F60" s="1824"/>
      <c r="G60" s="1824"/>
      <c r="H60" s="1824"/>
      <c r="I60" s="1824"/>
      <c r="J60" s="1824"/>
      <c r="K60" s="1824"/>
      <c r="L60" s="1824"/>
      <c r="M60" s="1824"/>
      <c r="N60" s="1824"/>
      <c r="O60" s="1824"/>
      <c r="P60" s="1824"/>
      <c r="Q60" s="1824"/>
      <c r="R60" s="1824"/>
      <c r="S60" s="1824"/>
      <c r="T60" s="1824"/>
      <c r="U60" s="1825"/>
    </row>
    <row r="61" spans="2:21" x14ac:dyDescent="0.3">
      <c r="B61" s="891" t="s">
        <v>1307</v>
      </c>
      <c r="C61" s="892" t="s">
        <v>1308</v>
      </c>
      <c r="D61" s="1823"/>
      <c r="E61" s="1824"/>
      <c r="F61" s="1824"/>
      <c r="G61" s="1824"/>
      <c r="H61" s="1824"/>
      <c r="I61" s="1824"/>
      <c r="J61" s="1824"/>
      <c r="K61" s="1824"/>
      <c r="L61" s="1824"/>
      <c r="M61" s="1824"/>
      <c r="N61" s="1824"/>
      <c r="O61" s="1824"/>
      <c r="P61" s="1824"/>
      <c r="Q61" s="1824"/>
      <c r="R61" s="1824"/>
      <c r="S61" s="1824"/>
      <c r="T61" s="1824"/>
      <c r="U61" s="1825"/>
    </row>
    <row r="62" spans="2:21" x14ac:dyDescent="0.3">
      <c r="B62" s="891" t="s">
        <v>1309</v>
      </c>
      <c r="C62" s="892" t="s">
        <v>1310</v>
      </c>
      <c r="D62" s="1823"/>
      <c r="E62" s="1824"/>
      <c r="F62" s="1824"/>
      <c r="G62" s="1824"/>
      <c r="H62" s="1824"/>
      <c r="I62" s="1824"/>
      <c r="J62" s="1824"/>
      <c r="K62" s="1824"/>
      <c r="L62" s="1824"/>
      <c r="M62" s="1824"/>
      <c r="N62" s="1824"/>
      <c r="O62" s="1824"/>
      <c r="P62" s="1824"/>
      <c r="Q62" s="1824"/>
      <c r="R62" s="1824"/>
      <c r="S62" s="1824"/>
      <c r="T62" s="1824"/>
      <c r="U62" s="1825"/>
    </row>
    <row r="63" spans="2:21" x14ac:dyDescent="0.3">
      <c r="B63" s="891" t="s">
        <v>1311</v>
      </c>
      <c r="C63" s="892" t="s">
        <v>1312</v>
      </c>
      <c r="D63" s="1823"/>
      <c r="E63" s="1824"/>
      <c r="F63" s="1824"/>
      <c r="G63" s="1824"/>
      <c r="H63" s="1824"/>
      <c r="I63" s="1824"/>
      <c r="J63" s="1824"/>
      <c r="K63" s="1824"/>
      <c r="L63" s="1824"/>
      <c r="M63" s="1824"/>
      <c r="N63" s="1824"/>
      <c r="O63" s="1824"/>
      <c r="P63" s="1824"/>
      <c r="Q63" s="1824"/>
      <c r="R63" s="1824"/>
      <c r="S63" s="1824"/>
      <c r="T63" s="1824"/>
      <c r="U63" s="1825"/>
    </row>
    <row r="64" spans="2:21" x14ac:dyDescent="0.3">
      <c r="B64" s="891" t="s">
        <v>1313</v>
      </c>
      <c r="C64" s="892" t="s">
        <v>1314</v>
      </c>
      <c r="D64" s="1823"/>
      <c r="E64" s="1824"/>
      <c r="F64" s="1824"/>
      <c r="G64" s="1824"/>
      <c r="H64" s="1824"/>
      <c r="I64" s="1824"/>
      <c r="J64" s="1824"/>
      <c r="K64" s="1824"/>
      <c r="L64" s="1824"/>
      <c r="M64" s="1824"/>
      <c r="N64" s="1824"/>
      <c r="O64" s="1824"/>
      <c r="P64" s="1824"/>
      <c r="Q64" s="1824"/>
      <c r="R64" s="1824"/>
      <c r="S64" s="1824"/>
      <c r="T64" s="1824"/>
      <c r="U64" s="1825"/>
    </row>
    <row r="65" spans="2:21" x14ac:dyDescent="0.3">
      <c r="B65" s="891" t="s">
        <v>1315</v>
      </c>
      <c r="C65" s="892" t="s">
        <v>1316</v>
      </c>
      <c r="D65" s="1823"/>
      <c r="E65" s="1824"/>
      <c r="F65" s="1824"/>
      <c r="G65" s="1824"/>
      <c r="H65" s="1824"/>
      <c r="I65" s="1824"/>
      <c r="J65" s="1824"/>
      <c r="K65" s="1824"/>
      <c r="L65" s="1824"/>
      <c r="M65" s="1824"/>
      <c r="N65" s="1824"/>
      <c r="O65" s="1824"/>
      <c r="P65" s="1824"/>
      <c r="Q65" s="1824"/>
      <c r="R65" s="1824"/>
      <c r="S65" s="1824"/>
      <c r="T65" s="1824"/>
      <c r="U65" s="1825"/>
    </row>
    <row r="66" spans="2:21" x14ac:dyDescent="0.3">
      <c r="B66" s="891" t="s">
        <v>1317</v>
      </c>
      <c r="C66" s="892" t="s">
        <v>1318</v>
      </c>
      <c r="D66" s="1823"/>
      <c r="E66" s="1824"/>
      <c r="F66" s="1824"/>
      <c r="G66" s="1824"/>
      <c r="H66" s="1824"/>
      <c r="I66" s="1824"/>
      <c r="J66" s="1824"/>
      <c r="K66" s="1824"/>
      <c r="L66" s="1824"/>
      <c r="M66" s="1824"/>
      <c r="N66" s="1824"/>
      <c r="O66" s="1824"/>
      <c r="P66" s="1824"/>
      <c r="Q66" s="1824"/>
      <c r="R66" s="1824"/>
      <c r="S66" s="1824"/>
      <c r="T66" s="1824"/>
      <c r="U66" s="1825"/>
    </row>
    <row r="67" spans="2:21" x14ac:dyDescent="0.3">
      <c r="B67" s="891" t="s">
        <v>1319</v>
      </c>
      <c r="C67" s="892" t="s">
        <v>1320</v>
      </c>
      <c r="D67" s="1823"/>
      <c r="E67" s="1824"/>
      <c r="F67" s="1824"/>
      <c r="G67" s="1824"/>
      <c r="H67" s="1824"/>
      <c r="I67" s="1824"/>
      <c r="J67" s="1824"/>
      <c r="K67" s="1824"/>
      <c r="L67" s="1824"/>
      <c r="M67" s="1824"/>
      <c r="N67" s="1824"/>
      <c r="O67" s="1824"/>
      <c r="P67" s="1824"/>
      <c r="Q67" s="1824"/>
      <c r="R67" s="1824"/>
      <c r="S67" s="1824"/>
      <c r="T67" s="1824"/>
      <c r="U67" s="1825"/>
    </row>
    <row r="68" spans="2:21" x14ac:dyDescent="0.3">
      <c r="B68" s="891" t="s">
        <v>1321</v>
      </c>
      <c r="C68" s="892" t="s">
        <v>1322</v>
      </c>
      <c r="D68" s="1823"/>
      <c r="E68" s="1824"/>
      <c r="F68" s="1824"/>
      <c r="G68" s="1824"/>
      <c r="H68" s="1824"/>
      <c r="I68" s="1824"/>
      <c r="J68" s="1824"/>
      <c r="K68" s="1824"/>
      <c r="L68" s="1824"/>
      <c r="M68" s="1824"/>
      <c r="N68" s="1824"/>
      <c r="O68" s="1824"/>
      <c r="P68" s="1824"/>
      <c r="Q68" s="1824"/>
      <c r="R68" s="1824"/>
      <c r="S68" s="1824"/>
      <c r="T68" s="1824"/>
      <c r="U68" s="1825"/>
    </row>
    <row r="69" spans="2:21" x14ac:dyDescent="0.3">
      <c r="B69" s="891" t="s">
        <v>1323</v>
      </c>
      <c r="C69" s="892" t="s">
        <v>1324</v>
      </c>
      <c r="D69" s="1823"/>
      <c r="E69" s="1824"/>
      <c r="F69" s="1824"/>
      <c r="G69" s="1824"/>
      <c r="H69" s="1824"/>
      <c r="I69" s="1824"/>
      <c r="J69" s="1824"/>
      <c r="K69" s="1824"/>
      <c r="L69" s="1824"/>
      <c r="M69" s="1824"/>
      <c r="N69" s="1824"/>
      <c r="O69" s="1824"/>
      <c r="P69" s="1824"/>
      <c r="Q69" s="1824"/>
      <c r="R69" s="1824"/>
      <c r="S69" s="1824"/>
      <c r="T69" s="1824"/>
      <c r="U69" s="1825"/>
    </row>
    <row r="70" spans="2:21" x14ac:dyDescent="0.3">
      <c r="B70" s="891" t="s">
        <v>1325</v>
      </c>
      <c r="C70" s="892" t="s">
        <v>1326</v>
      </c>
      <c r="D70" s="1823"/>
      <c r="E70" s="1824"/>
      <c r="F70" s="1824"/>
      <c r="G70" s="1824"/>
      <c r="H70" s="1824"/>
      <c r="I70" s="1824"/>
      <c r="J70" s="1824"/>
      <c r="K70" s="1824"/>
      <c r="L70" s="1824"/>
      <c r="M70" s="1824"/>
      <c r="N70" s="1824"/>
      <c r="O70" s="1824"/>
      <c r="P70" s="1824"/>
      <c r="Q70" s="1824"/>
      <c r="R70" s="1824"/>
      <c r="S70" s="1824"/>
      <c r="T70" s="1824"/>
      <c r="U70" s="1825"/>
    </row>
    <row r="71" spans="2:21" x14ac:dyDescent="0.3">
      <c r="B71" s="891" t="s">
        <v>1327</v>
      </c>
      <c r="C71" s="892" t="s">
        <v>1328</v>
      </c>
      <c r="D71" s="1823"/>
      <c r="E71" s="1824"/>
      <c r="F71" s="1824"/>
      <c r="G71" s="1824"/>
      <c r="H71" s="1824"/>
      <c r="I71" s="1824"/>
      <c r="J71" s="1824"/>
      <c r="K71" s="1824"/>
      <c r="L71" s="1824"/>
      <c r="M71" s="1824"/>
      <c r="N71" s="1824"/>
      <c r="O71" s="1824"/>
      <c r="P71" s="1824"/>
      <c r="Q71" s="1824"/>
      <c r="R71" s="1824"/>
      <c r="S71" s="1824"/>
      <c r="T71" s="1824"/>
      <c r="U71" s="1825"/>
    </row>
    <row r="72" spans="2:21" x14ac:dyDescent="0.3">
      <c r="B72" s="891" t="s">
        <v>1329</v>
      </c>
      <c r="C72" s="892" t="s">
        <v>1330</v>
      </c>
      <c r="D72" s="1823"/>
      <c r="E72" s="1824"/>
      <c r="F72" s="1824"/>
      <c r="G72" s="1824"/>
      <c r="H72" s="1824"/>
      <c r="I72" s="1824"/>
      <c r="J72" s="1824"/>
      <c r="K72" s="1824"/>
      <c r="L72" s="1824"/>
      <c r="M72" s="1824"/>
      <c r="N72" s="1824"/>
      <c r="O72" s="1824"/>
      <c r="P72" s="1824"/>
      <c r="Q72" s="1824"/>
      <c r="R72" s="1824"/>
      <c r="S72" s="1824"/>
      <c r="T72" s="1824"/>
      <c r="U72" s="1825"/>
    </row>
    <row r="73" spans="2:21" x14ac:dyDescent="0.3">
      <c r="B73" s="891" t="s">
        <v>1331</v>
      </c>
      <c r="C73" s="892" t="s">
        <v>1332</v>
      </c>
      <c r="D73" s="1823"/>
      <c r="E73" s="1824"/>
      <c r="F73" s="1824"/>
      <c r="G73" s="1824"/>
      <c r="H73" s="1824"/>
      <c r="I73" s="1824"/>
      <c r="J73" s="1824"/>
      <c r="K73" s="1824"/>
      <c r="L73" s="1824"/>
      <c r="M73" s="1824"/>
      <c r="N73" s="1824"/>
      <c r="O73" s="1824"/>
      <c r="P73" s="1824"/>
      <c r="Q73" s="1824"/>
      <c r="R73" s="1824"/>
      <c r="S73" s="1824"/>
      <c r="T73" s="1824"/>
      <c r="U73" s="1825"/>
    </row>
    <row r="74" spans="2:21" x14ac:dyDescent="0.3">
      <c r="B74" s="891" t="s">
        <v>1333</v>
      </c>
      <c r="C74" s="892" t="s">
        <v>1334</v>
      </c>
      <c r="D74" s="1823"/>
      <c r="E74" s="1824"/>
      <c r="F74" s="1824"/>
      <c r="G74" s="1824"/>
      <c r="H74" s="1824"/>
      <c r="I74" s="1824"/>
      <c r="J74" s="1824"/>
      <c r="K74" s="1824"/>
      <c r="L74" s="1824"/>
      <c r="M74" s="1824"/>
      <c r="N74" s="1824"/>
      <c r="O74" s="1824"/>
      <c r="P74" s="1824"/>
      <c r="Q74" s="1824"/>
      <c r="R74" s="1824"/>
      <c r="S74" s="1824"/>
      <c r="T74" s="1824"/>
      <c r="U74" s="1825"/>
    </row>
    <row r="75" spans="2:21" x14ac:dyDescent="0.3">
      <c r="B75" s="891" t="s">
        <v>1335</v>
      </c>
      <c r="C75" s="892" t="s">
        <v>1336</v>
      </c>
      <c r="D75" s="1823"/>
      <c r="E75" s="1824"/>
      <c r="F75" s="1824"/>
      <c r="G75" s="1824"/>
      <c r="H75" s="1824"/>
      <c r="I75" s="1824"/>
      <c r="J75" s="1824"/>
      <c r="K75" s="1824"/>
      <c r="L75" s="1824"/>
      <c r="M75" s="1824"/>
      <c r="N75" s="1824"/>
      <c r="O75" s="1824"/>
      <c r="P75" s="1824"/>
      <c r="Q75" s="1824"/>
      <c r="R75" s="1824"/>
      <c r="S75" s="1824"/>
      <c r="T75" s="1824"/>
      <c r="U75" s="1825"/>
    </row>
    <row r="76" spans="2:21" x14ac:dyDescent="0.3">
      <c r="B76" s="891" t="s">
        <v>1337</v>
      </c>
      <c r="C76" s="892" t="s">
        <v>1338</v>
      </c>
      <c r="D76" s="1823"/>
      <c r="E76" s="1824"/>
      <c r="F76" s="1824"/>
      <c r="G76" s="1824"/>
      <c r="H76" s="1824"/>
      <c r="I76" s="1824"/>
      <c r="J76" s="1824"/>
      <c r="K76" s="1824"/>
      <c r="L76" s="1824"/>
      <c r="M76" s="1824"/>
      <c r="N76" s="1824"/>
      <c r="O76" s="1824"/>
      <c r="P76" s="1824"/>
      <c r="Q76" s="1824"/>
      <c r="R76" s="1824"/>
      <c r="S76" s="1824"/>
      <c r="T76" s="1824"/>
      <c r="U76" s="1825"/>
    </row>
    <row r="77" spans="2:21" x14ac:dyDescent="0.3">
      <c r="B77" s="891" t="s">
        <v>1339</v>
      </c>
      <c r="C77" s="892" t="s">
        <v>851</v>
      </c>
      <c r="D77" s="1823"/>
      <c r="E77" s="1824"/>
      <c r="F77" s="1824"/>
      <c r="G77" s="1824"/>
      <c r="H77" s="1824"/>
      <c r="I77" s="1824"/>
      <c r="J77" s="1824"/>
      <c r="K77" s="1824"/>
      <c r="L77" s="1824"/>
      <c r="M77" s="1824"/>
      <c r="N77" s="1824"/>
      <c r="O77" s="1824"/>
      <c r="P77" s="1824"/>
      <c r="Q77" s="1824"/>
      <c r="R77" s="1824"/>
      <c r="S77" s="1824"/>
      <c r="T77" s="1824"/>
      <c r="U77" s="1825"/>
    </row>
    <row r="78" spans="2:21" x14ac:dyDescent="0.3">
      <c r="B78" s="891" t="s">
        <v>1340</v>
      </c>
      <c r="C78" s="892" t="s">
        <v>1341</v>
      </c>
      <c r="D78" s="1823"/>
      <c r="E78" s="1824"/>
      <c r="F78" s="1824"/>
      <c r="G78" s="1824"/>
      <c r="H78" s="1824"/>
      <c r="I78" s="1824"/>
      <c r="J78" s="1824"/>
      <c r="K78" s="1824"/>
      <c r="L78" s="1824"/>
      <c r="M78" s="1824"/>
      <c r="N78" s="1824"/>
      <c r="O78" s="1824"/>
      <c r="P78" s="1824"/>
      <c r="Q78" s="1824"/>
      <c r="R78" s="1824"/>
      <c r="S78" s="1824"/>
      <c r="T78" s="1824"/>
      <c r="U78" s="1825"/>
    </row>
    <row r="79" spans="2:21" x14ac:dyDescent="0.3">
      <c r="B79" s="891" t="s">
        <v>1342</v>
      </c>
      <c r="C79" s="892" t="s">
        <v>1343</v>
      </c>
      <c r="D79" s="1823"/>
      <c r="E79" s="1824"/>
      <c r="F79" s="1824"/>
      <c r="G79" s="1824"/>
      <c r="H79" s="1824"/>
      <c r="I79" s="1824"/>
      <c r="J79" s="1824"/>
      <c r="K79" s="1824"/>
      <c r="L79" s="1824"/>
      <c r="M79" s="1824"/>
      <c r="N79" s="1824"/>
      <c r="O79" s="1824"/>
      <c r="P79" s="1824"/>
      <c r="Q79" s="1824"/>
      <c r="R79" s="1824"/>
      <c r="S79" s="1824"/>
      <c r="T79" s="1824"/>
      <c r="U79" s="1825"/>
    </row>
    <row r="80" spans="2:21" s="883" customFormat="1" x14ac:dyDescent="0.3">
      <c r="B80" s="890"/>
      <c r="C80" s="896" t="s">
        <v>1344</v>
      </c>
      <c r="D80" s="1823"/>
      <c r="E80" s="1824"/>
      <c r="F80" s="1824"/>
      <c r="G80" s="1824"/>
      <c r="H80" s="1824"/>
      <c r="I80" s="1824"/>
      <c r="J80" s="1824"/>
      <c r="K80" s="1824"/>
      <c r="L80" s="1824"/>
      <c r="M80" s="1824"/>
      <c r="N80" s="1824"/>
      <c r="O80" s="1824"/>
      <c r="P80" s="1824"/>
      <c r="Q80" s="1824"/>
      <c r="R80" s="1824"/>
      <c r="S80" s="1824"/>
      <c r="T80" s="1824"/>
      <c r="U80" s="1825"/>
    </row>
    <row r="81" spans="2:21" s="883" customFormat="1" x14ac:dyDescent="0.3">
      <c r="B81" s="890"/>
      <c r="C81" s="896"/>
      <c r="D81" s="1823"/>
      <c r="E81" s="1824"/>
      <c r="F81" s="1824"/>
      <c r="G81" s="1824"/>
      <c r="H81" s="1824"/>
      <c r="I81" s="1824"/>
      <c r="J81" s="1824"/>
      <c r="K81" s="1824"/>
      <c r="L81" s="1824"/>
      <c r="M81" s="1824"/>
      <c r="N81" s="1824"/>
      <c r="O81" s="1824"/>
      <c r="P81" s="1824"/>
      <c r="Q81" s="1824"/>
      <c r="R81" s="1824"/>
      <c r="S81" s="1824"/>
      <c r="T81" s="1824"/>
      <c r="U81" s="1825"/>
    </row>
    <row r="82" spans="2:21" s="883" customFormat="1" x14ac:dyDescent="0.3">
      <c r="B82" s="890">
        <v>2.4</v>
      </c>
      <c r="C82" s="889" t="s">
        <v>1345</v>
      </c>
      <c r="D82" s="1823"/>
      <c r="E82" s="1824"/>
      <c r="F82" s="1824"/>
      <c r="G82" s="1824"/>
      <c r="H82" s="1824"/>
      <c r="I82" s="1824"/>
      <c r="J82" s="1824"/>
      <c r="K82" s="1824"/>
      <c r="L82" s="1824"/>
      <c r="M82" s="1824"/>
      <c r="N82" s="1824"/>
      <c r="O82" s="1824"/>
      <c r="P82" s="1824"/>
      <c r="Q82" s="1824"/>
      <c r="R82" s="1824"/>
      <c r="S82" s="1824"/>
      <c r="T82" s="1824"/>
      <c r="U82" s="1825"/>
    </row>
    <row r="83" spans="2:21" x14ac:dyDescent="0.3">
      <c r="B83" s="891" t="s">
        <v>1346</v>
      </c>
      <c r="C83" s="892" t="s">
        <v>1347</v>
      </c>
      <c r="D83" s="1823"/>
      <c r="E83" s="1824"/>
      <c r="F83" s="1824"/>
      <c r="G83" s="1824"/>
      <c r="H83" s="1824"/>
      <c r="I83" s="1824"/>
      <c r="J83" s="1824"/>
      <c r="K83" s="1824"/>
      <c r="L83" s="1824"/>
      <c r="M83" s="1824"/>
      <c r="N83" s="1824"/>
      <c r="O83" s="1824"/>
      <c r="P83" s="1824"/>
      <c r="Q83" s="1824"/>
      <c r="R83" s="1824"/>
      <c r="S83" s="1824"/>
      <c r="T83" s="1824"/>
      <c r="U83" s="1825"/>
    </row>
    <row r="84" spans="2:21" x14ac:dyDescent="0.3">
      <c r="B84" s="891" t="s">
        <v>1348</v>
      </c>
      <c r="C84" s="892" t="s">
        <v>1349</v>
      </c>
      <c r="D84" s="1823"/>
      <c r="E84" s="1824"/>
      <c r="F84" s="1824"/>
      <c r="G84" s="1824"/>
      <c r="H84" s="1824"/>
      <c r="I84" s="1824"/>
      <c r="J84" s="1824"/>
      <c r="K84" s="1824"/>
      <c r="L84" s="1824"/>
      <c r="M84" s="1824"/>
      <c r="N84" s="1824"/>
      <c r="O84" s="1824"/>
      <c r="P84" s="1824"/>
      <c r="Q84" s="1824"/>
      <c r="R84" s="1824"/>
      <c r="S84" s="1824"/>
      <c r="T84" s="1824"/>
      <c r="U84" s="1825"/>
    </row>
    <row r="85" spans="2:21" x14ac:dyDescent="0.3">
      <c r="B85" s="891" t="s">
        <v>1350</v>
      </c>
      <c r="C85" s="892" t="s">
        <v>1351</v>
      </c>
      <c r="D85" s="1823"/>
      <c r="E85" s="1824"/>
      <c r="F85" s="1824"/>
      <c r="G85" s="1824"/>
      <c r="H85" s="1824"/>
      <c r="I85" s="1824"/>
      <c r="J85" s="1824"/>
      <c r="K85" s="1824"/>
      <c r="L85" s="1824"/>
      <c r="M85" s="1824"/>
      <c r="N85" s="1824"/>
      <c r="O85" s="1824"/>
      <c r="P85" s="1824"/>
      <c r="Q85" s="1824"/>
      <c r="R85" s="1824"/>
      <c r="S85" s="1824"/>
      <c r="T85" s="1824"/>
      <c r="U85" s="1825"/>
    </row>
    <row r="86" spans="2:21" x14ac:dyDescent="0.3">
      <c r="B86" s="891" t="s">
        <v>1352</v>
      </c>
      <c r="C86" s="892" t="s">
        <v>1353</v>
      </c>
      <c r="D86" s="1823"/>
      <c r="E86" s="1824"/>
      <c r="F86" s="1824"/>
      <c r="G86" s="1824"/>
      <c r="H86" s="1824"/>
      <c r="I86" s="1824"/>
      <c r="J86" s="1824"/>
      <c r="K86" s="1824"/>
      <c r="L86" s="1824"/>
      <c r="M86" s="1824"/>
      <c r="N86" s="1824"/>
      <c r="O86" s="1824"/>
      <c r="P86" s="1824"/>
      <c r="Q86" s="1824"/>
      <c r="R86" s="1824"/>
      <c r="S86" s="1824"/>
      <c r="T86" s="1824"/>
      <c r="U86" s="1825"/>
    </row>
    <row r="87" spans="2:21" x14ac:dyDescent="0.3">
      <c r="B87" s="891" t="s">
        <v>1354</v>
      </c>
      <c r="C87" s="892" t="s">
        <v>1355</v>
      </c>
      <c r="D87" s="1823"/>
      <c r="E87" s="1824"/>
      <c r="F87" s="1824"/>
      <c r="G87" s="1824"/>
      <c r="H87" s="1824"/>
      <c r="I87" s="1824"/>
      <c r="J87" s="1824"/>
      <c r="K87" s="1824"/>
      <c r="L87" s="1824"/>
      <c r="M87" s="1824"/>
      <c r="N87" s="1824"/>
      <c r="O87" s="1824"/>
      <c r="P87" s="1824"/>
      <c r="Q87" s="1824"/>
      <c r="R87" s="1824"/>
      <c r="S87" s="1824"/>
      <c r="T87" s="1824"/>
      <c r="U87" s="1825"/>
    </row>
    <row r="88" spans="2:21" x14ac:dyDescent="0.3">
      <c r="B88" s="891" t="s">
        <v>1356</v>
      </c>
      <c r="C88" s="892" t="s">
        <v>1357</v>
      </c>
      <c r="D88" s="1823"/>
      <c r="E88" s="1824"/>
      <c r="F88" s="1824"/>
      <c r="G88" s="1824"/>
      <c r="H88" s="1824"/>
      <c r="I88" s="1824"/>
      <c r="J88" s="1824"/>
      <c r="K88" s="1824"/>
      <c r="L88" s="1824"/>
      <c r="M88" s="1824"/>
      <c r="N88" s="1824"/>
      <c r="O88" s="1824"/>
      <c r="P88" s="1824"/>
      <c r="Q88" s="1824"/>
      <c r="R88" s="1824"/>
      <c r="S88" s="1824"/>
      <c r="T88" s="1824"/>
      <c r="U88" s="1825"/>
    </row>
    <row r="89" spans="2:21" x14ac:dyDescent="0.3">
      <c r="B89" s="891" t="s">
        <v>1358</v>
      </c>
      <c r="C89" s="892" t="s">
        <v>1359</v>
      </c>
      <c r="D89" s="1823"/>
      <c r="E89" s="1824"/>
      <c r="F89" s="1824"/>
      <c r="G89" s="1824"/>
      <c r="H89" s="1824"/>
      <c r="I89" s="1824"/>
      <c r="J89" s="1824"/>
      <c r="K89" s="1824"/>
      <c r="L89" s="1824"/>
      <c r="M89" s="1824"/>
      <c r="N89" s="1824"/>
      <c r="O89" s="1824"/>
      <c r="P89" s="1824"/>
      <c r="Q89" s="1824"/>
      <c r="R89" s="1824"/>
      <c r="S89" s="1824"/>
      <c r="T89" s="1824"/>
      <c r="U89" s="1825"/>
    </row>
    <row r="90" spans="2:21" x14ac:dyDescent="0.3">
      <c r="B90" s="891" t="s">
        <v>1360</v>
      </c>
      <c r="C90" s="892" t="s">
        <v>1361</v>
      </c>
      <c r="D90" s="1823"/>
      <c r="E90" s="1824"/>
      <c r="F90" s="1824"/>
      <c r="G90" s="1824"/>
      <c r="H90" s="1824"/>
      <c r="I90" s="1824"/>
      <c r="J90" s="1824"/>
      <c r="K90" s="1824"/>
      <c r="L90" s="1824"/>
      <c r="M90" s="1824"/>
      <c r="N90" s="1824"/>
      <c r="O90" s="1824"/>
      <c r="P90" s="1824"/>
      <c r="Q90" s="1824"/>
      <c r="R90" s="1824"/>
      <c r="S90" s="1824"/>
      <c r="T90" s="1824"/>
      <c r="U90" s="1825"/>
    </row>
    <row r="91" spans="2:21" x14ac:dyDescent="0.3">
      <c r="B91" s="891" t="s">
        <v>1362</v>
      </c>
      <c r="C91" s="892" t="s">
        <v>1363</v>
      </c>
      <c r="D91" s="1823"/>
      <c r="E91" s="1824"/>
      <c r="F91" s="1824"/>
      <c r="G91" s="1824"/>
      <c r="H91" s="1824"/>
      <c r="I91" s="1824"/>
      <c r="J91" s="1824"/>
      <c r="K91" s="1824"/>
      <c r="L91" s="1824"/>
      <c r="M91" s="1824"/>
      <c r="N91" s="1824"/>
      <c r="O91" s="1824"/>
      <c r="P91" s="1824"/>
      <c r="Q91" s="1824"/>
      <c r="R91" s="1824"/>
      <c r="S91" s="1824"/>
      <c r="T91" s="1824"/>
      <c r="U91" s="1825"/>
    </row>
    <row r="92" spans="2:21" x14ac:dyDescent="0.3">
      <c r="B92" s="891" t="s">
        <v>1364</v>
      </c>
      <c r="C92" s="892" t="s">
        <v>1365</v>
      </c>
      <c r="D92" s="1823"/>
      <c r="E92" s="1824"/>
      <c r="F92" s="1824"/>
      <c r="G92" s="1824"/>
      <c r="H92" s="1824"/>
      <c r="I92" s="1824"/>
      <c r="J92" s="1824"/>
      <c r="K92" s="1824"/>
      <c r="L92" s="1824"/>
      <c r="M92" s="1824"/>
      <c r="N92" s="1824"/>
      <c r="O92" s="1824"/>
      <c r="P92" s="1824"/>
      <c r="Q92" s="1824"/>
      <c r="R92" s="1824"/>
      <c r="S92" s="1824"/>
      <c r="T92" s="1824"/>
      <c r="U92" s="1825"/>
    </row>
    <row r="93" spans="2:21" x14ac:dyDescent="0.3">
      <c r="B93" s="891" t="s">
        <v>1366</v>
      </c>
      <c r="C93" s="892" t="s">
        <v>1367</v>
      </c>
      <c r="D93" s="1823"/>
      <c r="E93" s="1824"/>
      <c r="F93" s="1824"/>
      <c r="G93" s="1824"/>
      <c r="H93" s="1824"/>
      <c r="I93" s="1824"/>
      <c r="J93" s="1824"/>
      <c r="K93" s="1824"/>
      <c r="L93" s="1824"/>
      <c r="M93" s="1824"/>
      <c r="N93" s="1824"/>
      <c r="O93" s="1824"/>
      <c r="P93" s="1824"/>
      <c r="Q93" s="1824"/>
      <c r="R93" s="1824"/>
      <c r="S93" s="1824"/>
      <c r="T93" s="1824"/>
      <c r="U93" s="1825"/>
    </row>
    <row r="94" spans="2:21" x14ac:dyDescent="0.3">
      <c r="B94" s="891" t="s">
        <v>1368</v>
      </c>
      <c r="C94" s="892" t="s">
        <v>1369</v>
      </c>
      <c r="D94" s="1823"/>
      <c r="E94" s="1824"/>
      <c r="F94" s="1824"/>
      <c r="G94" s="1824"/>
      <c r="H94" s="1824"/>
      <c r="I94" s="1824"/>
      <c r="J94" s="1824"/>
      <c r="K94" s="1824"/>
      <c r="L94" s="1824"/>
      <c r="M94" s="1824"/>
      <c r="N94" s="1824"/>
      <c r="O94" s="1824"/>
      <c r="P94" s="1824"/>
      <c r="Q94" s="1824"/>
      <c r="R94" s="1824"/>
      <c r="S94" s="1824"/>
      <c r="T94" s="1824"/>
      <c r="U94" s="1825"/>
    </row>
    <row r="95" spans="2:21" x14ac:dyDescent="0.3">
      <c r="B95" s="891" t="s">
        <v>1370</v>
      </c>
      <c r="C95" s="892" t="s">
        <v>1371</v>
      </c>
      <c r="D95" s="1823"/>
      <c r="E95" s="1824"/>
      <c r="F95" s="1824"/>
      <c r="G95" s="1824"/>
      <c r="H95" s="1824"/>
      <c r="I95" s="1824"/>
      <c r="J95" s="1824"/>
      <c r="K95" s="1824"/>
      <c r="L95" s="1824"/>
      <c r="M95" s="1824"/>
      <c r="N95" s="1824"/>
      <c r="O95" s="1824"/>
      <c r="P95" s="1824"/>
      <c r="Q95" s="1824"/>
      <c r="R95" s="1824"/>
      <c r="S95" s="1824"/>
      <c r="T95" s="1824"/>
      <c r="U95" s="1825"/>
    </row>
    <row r="96" spans="2:21" x14ac:dyDescent="0.3">
      <c r="B96" s="891" t="s">
        <v>1372</v>
      </c>
      <c r="C96" s="892" t="s">
        <v>1373</v>
      </c>
      <c r="D96" s="1823"/>
      <c r="E96" s="1824"/>
      <c r="F96" s="1824"/>
      <c r="G96" s="1824"/>
      <c r="H96" s="1824"/>
      <c r="I96" s="1824"/>
      <c r="J96" s="1824"/>
      <c r="K96" s="1824"/>
      <c r="L96" s="1824"/>
      <c r="M96" s="1824"/>
      <c r="N96" s="1824"/>
      <c r="O96" s="1824"/>
      <c r="P96" s="1824"/>
      <c r="Q96" s="1824"/>
      <c r="R96" s="1824"/>
      <c r="S96" s="1824"/>
      <c r="T96" s="1824"/>
      <c r="U96" s="1825"/>
    </row>
    <row r="97" spans="2:21" x14ac:dyDescent="0.3">
      <c r="B97" s="891" t="s">
        <v>1374</v>
      </c>
      <c r="C97" s="892" t="s">
        <v>1375</v>
      </c>
      <c r="D97" s="1823"/>
      <c r="E97" s="1824"/>
      <c r="F97" s="1824"/>
      <c r="G97" s="1824"/>
      <c r="H97" s="1824"/>
      <c r="I97" s="1824"/>
      <c r="J97" s="1824"/>
      <c r="K97" s="1824"/>
      <c r="L97" s="1824"/>
      <c r="M97" s="1824"/>
      <c r="N97" s="1824"/>
      <c r="O97" s="1824"/>
      <c r="P97" s="1824"/>
      <c r="Q97" s="1824"/>
      <c r="R97" s="1824"/>
      <c r="S97" s="1824"/>
      <c r="T97" s="1824"/>
      <c r="U97" s="1825"/>
    </row>
    <row r="98" spans="2:21" s="883" customFormat="1" x14ac:dyDescent="0.3">
      <c r="B98" s="890" t="s">
        <v>1376</v>
      </c>
      <c r="C98" s="889" t="s">
        <v>1377</v>
      </c>
      <c r="D98" s="1823"/>
      <c r="E98" s="1824"/>
      <c r="F98" s="1824"/>
      <c r="G98" s="1824"/>
      <c r="H98" s="1824"/>
      <c r="I98" s="1824"/>
      <c r="J98" s="1824"/>
      <c r="K98" s="1824"/>
      <c r="L98" s="1824"/>
      <c r="M98" s="1824"/>
      <c r="N98" s="1824"/>
      <c r="O98" s="1824"/>
      <c r="P98" s="1824"/>
      <c r="Q98" s="1824"/>
      <c r="R98" s="1824"/>
      <c r="S98" s="1824"/>
      <c r="T98" s="1824"/>
      <c r="U98" s="1825"/>
    </row>
    <row r="99" spans="2:21" s="883" customFormat="1" x14ac:dyDescent="0.3">
      <c r="B99" s="890"/>
      <c r="C99" s="889" t="s">
        <v>1378</v>
      </c>
      <c r="D99" s="1823"/>
      <c r="E99" s="1824"/>
      <c r="F99" s="1824"/>
      <c r="G99" s="1824"/>
      <c r="H99" s="1824"/>
      <c r="I99" s="1824"/>
      <c r="J99" s="1824"/>
      <c r="K99" s="1824"/>
      <c r="L99" s="1824"/>
      <c r="M99" s="1824"/>
      <c r="N99" s="1824"/>
      <c r="O99" s="1824"/>
      <c r="P99" s="1824"/>
      <c r="Q99" s="1824"/>
      <c r="R99" s="1824"/>
      <c r="S99" s="1824"/>
      <c r="T99" s="1824"/>
      <c r="U99" s="1825"/>
    </row>
    <row r="100" spans="2:21" s="883" customFormat="1" x14ac:dyDescent="0.3">
      <c r="B100" s="890"/>
      <c r="C100" s="889"/>
      <c r="D100" s="1823"/>
      <c r="E100" s="1824"/>
      <c r="F100" s="1824"/>
      <c r="G100" s="1824"/>
      <c r="H100" s="1824"/>
      <c r="I100" s="1824"/>
      <c r="J100" s="1824"/>
      <c r="K100" s="1824"/>
      <c r="L100" s="1824"/>
      <c r="M100" s="1824"/>
      <c r="N100" s="1824"/>
      <c r="O100" s="1824"/>
      <c r="P100" s="1824"/>
      <c r="Q100" s="1824"/>
      <c r="R100" s="1824"/>
      <c r="S100" s="1824"/>
      <c r="T100" s="1824"/>
      <c r="U100" s="1825"/>
    </row>
    <row r="101" spans="2:21" s="883" customFormat="1" x14ac:dyDescent="0.3">
      <c r="B101" s="890">
        <v>2.5</v>
      </c>
      <c r="C101" s="896" t="s">
        <v>1379</v>
      </c>
      <c r="D101" s="1823"/>
      <c r="E101" s="1824"/>
      <c r="F101" s="1824"/>
      <c r="G101" s="1824"/>
      <c r="H101" s="1824"/>
      <c r="I101" s="1824"/>
      <c r="J101" s="1824"/>
      <c r="K101" s="1824"/>
      <c r="L101" s="1824"/>
      <c r="M101" s="1824"/>
      <c r="N101" s="1824"/>
      <c r="O101" s="1824"/>
      <c r="P101" s="1824"/>
      <c r="Q101" s="1824"/>
      <c r="R101" s="1824"/>
      <c r="S101" s="1824"/>
      <c r="T101" s="1824"/>
      <c r="U101" s="1825"/>
    </row>
    <row r="102" spans="2:21" x14ac:dyDescent="0.3">
      <c r="B102" s="897" t="s">
        <v>412</v>
      </c>
      <c r="C102" s="892" t="s">
        <v>1380</v>
      </c>
      <c r="D102" s="1823"/>
      <c r="E102" s="1824"/>
      <c r="F102" s="1824"/>
      <c r="G102" s="1824"/>
      <c r="H102" s="1824"/>
      <c r="I102" s="1824"/>
      <c r="J102" s="1824"/>
      <c r="K102" s="1824"/>
      <c r="L102" s="1824"/>
      <c r="M102" s="1824"/>
      <c r="N102" s="1824"/>
      <c r="O102" s="1824"/>
      <c r="P102" s="1824"/>
      <c r="Q102" s="1824"/>
      <c r="R102" s="1824"/>
      <c r="S102" s="1824"/>
      <c r="T102" s="1824"/>
      <c r="U102" s="1825"/>
    </row>
    <row r="103" spans="2:21" x14ac:dyDescent="0.3">
      <c r="B103" s="897" t="s">
        <v>415</v>
      </c>
      <c r="C103" s="892" t="s">
        <v>1381</v>
      </c>
      <c r="D103" s="1823"/>
      <c r="E103" s="1824"/>
      <c r="F103" s="1824"/>
      <c r="G103" s="1824"/>
      <c r="H103" s="1824"/>
      <c r="I103" s="1824"/>
      <c r="J103" s="1824"/>
      <c r="K103" s="1824"/>
      <c r="L103" s="1824"/>
      <c r="M103" s="1824"/>
      <c r="N103" s="1824"/>
      <c r="O103" s="1824"/>
      <c r="P103" s="1824"/>
      <c r="Q103" s="1824"/>
      <c r="R103" s="1824"/>
      <c r="S103" s="1824"/>
      <c r="T103" s="1824"/>
      <c r="U103" s="1825"/>
    </row>
    <row r="104" spans="2:21" s="883" customFormat="1" x14ac:dyDescent="0.3">
      <c r="B104" s="890" t="s">
        <v>416</v>
      </c>
      <c r="C104" s="898" t="s">
        <v>1382</v>
      </c>
      <c r="D104" s="1823"/>
      <c r="E104" s="1824"/>
      <c r="F104" s="1824"/>
      <c r="G104" s="1824"/>
      <c r="H104" s="1824"/>
      <c r="I104" s="1824"/>
      <c r="J104" s="1824"/>
      <c r="K104" s="1824"/>
      <c r="L104" s="1824"/>
      <c r="M104" s="1824"/>
      <c r="N104" s="1824"/>
      <c r="O104" s="1824"/>
      <c r="P104" s="1824"/>
      <c r="Q104" s="1824"/>
      <c r="R104" s="1824"/>
      <c r="S104" s="1824"/>
      <c r="T104" s="1824"/>
      <c r="U104" s="1825"/>
    </row>
    <row r="105" spans="2:21" s="883" customFormat="1" x14ac:dyDescent="0.3">
      <c r="B105" s="890"/>
      <c r="C105" s="898"/>
      <c r="D105" s="1823"/>
      <c r="E105" s="1824"/>
      <c r="F105" s="1824"/>
      <c r="G105" s="1824"/>
      <c r="H105" s="1824"/>
      <c r="I105" s="1824"/>
      <c r="J105" s="1824"/>
      <c r="K105" s="1824"/>
      <c r="L105" s="1824"/>
      <c r="M105" s="1824"/>
      <c r="N105" s="1824"/>
      <c r="O105" s="1824"/>
      <c r="P105" s="1824"/>
      <c r="Q105" s="1824"/>
      <c r="R105" s="1824"/>
      <c r="S105" s="1824"/>
      <c r="T105" s="1824"/>
      <c r="U105" s="1825"/>
    </row>
    <row r="106" spans="2:21" s="883" customFormat="1" x14ac:dyDescent="0.3">
      <c r="B106" s="890">
        <v>2.6</v>
      </c>
      <c r="C106" s="889" t="s">
        <v>1383</v>
      </c>
      <c r="D106" s="1823"/>
      <c r="E106" s="1824"/>
      <c r="F106" s="1824"/>
      <c r="G106" s="1824"/>
      <c r="H106" s="1824"/>
      <c r="I106" s="1824"/>
      <c r="J106" s="1824"/>
      <c r="K106" s="1824"/>
      <c r="L106" s="1824"/>
      <c r="M106" s="1824"/>
      <c r="N106" s="1824"/>
      <c r="O106" s="1824"/>
      <c r="P106" s="1824"/>
      <c r="Q106" s="1824"/>
      <c r="R106" s="1824"/>
      <c r="S106" s="1824"/>
      <c r="T106" s="1824"/>
      <c r="U106" s="1825"/>
    </row>
    <row r="107" spans="2:21" x14ac:dyDescent="0.3">
      <c r="B107" s="891" t="s">
        <v>1384</v>
      </c>
      <c r="C107" s="886" t="s">
        <v>1385</v>
      </c>
      <c r="D107" s="1823"/>
      <c r="E107" s="1824"/>
      <c r="F107" s="1824"/>
      <c r="G107" s="1824"/>
      <c r="H107" s="1824"/>
      <c r="I107" s="1824"/>
      <c r="J107" s="1824"/>
      <c r="K107" s="1824"/>
      <c r="L107" s="1824"/>
      <c r="M107" s="1824"/>
      <c r="N107" s="1824"/>
      <c r="O107" s="1824"/>
      <c r="P107" s="1824"/>
      <c r="Q107" s="1824"/>
      <c r="R107" s="1824"/>
      <c r="S107" s="1824"/>
      <c r="T107" s="1824"/>
      <c r="U107" s="1825"/>
    </row>
    <row r="108" spans="2:21" x14ac:dyDescent="0.3">
      <c r="B108" s="891" t="s">
        <v>1386</v>
      </c>
      <c r="C108" s="886" t="s">
        <v>1387</v>
      </c>
      <c r="D108" s="1823"/>
      <c r="E108" s="1824"/>
      <c r="F108" s="1824"/>
      <c r="G108" s="1824"/>
      <c r="H108" s="1824"/>
      <c r="I108" s="1824"/>
      <c r="J108" s="1824"/>
      <c r="K108" s="1824"/>
      <c r="L108" s="1824"/>
      <c r="M108" s="1824"/>
      <c r="N108" s="1824"/>
      <c r="O108" s="1824"/>
      <c r="P108" s="1824"/>
      <c r="Q108" s="1824"/>
      <c r="R108" s="1824"/>
      <c r="S108" s="1824"/>
      <c r="T108" s="1824"/>
      <c r="U108" s="1825"/>
    </row>
    <row r="109" spans="2:21" s="883" customFormat="1" x14ac:dyDescent="0.3">
      <c r="B109" s="890" t="s">
        <v>1388</v>
      </c>
      <c r="C109" s="889" t="s">
        <v>1389</v>
      </c>
      <c r="D109" s="1823"/>
      <c r="E109" s="1824"/>
      <c r="F109" s="1824"/>
      <c r="G109" s="1824"/>
      <c r="H109" s="1824"/>
      <c r="I109" s="1824"/>
      <c r="J109" s="1824"/>
      <c r="K109" s="1824"/>
      <c r="L109" s="1824"/>
      <c r="M109" s="1824"/>
      <c r="N109" s="1824"/>
      <c r="O109" s="1824"/>
      <c r="P109" s="1824"/>
      <c r="Q109" s="1824"/>
      <c r="R109" s="1824"/>
      <c r="S109" s="1824"/>
      <c r="T109" s="1824"/>
      <c r="U109" s="1825"/>
    </row>
    <row r="110" spans="2:21" s="883" customFormat="1" x14ac:dyDescent="0.3">
      <c r="B110" s="890" t="s">
        <v>1390</v>
      </c>
      <c r="C110" s="889" t="s">
        <v>1391</v>
      </c>
      <c r="D110" s="1823"/>
      <c r="E110" s="1824"/>
      <c r="F110" s="1824"/>
      <c r="G110" s="1824"/>
      <c r="H110" s="1824"/>
      <c r="I110" s="1824"/>
      <c r="J110" s="1824"/>
      <c r="K110" s="1824"/>
      <c r="L110" s="1824"/>
      <c r="M110" s="1824"/>
      <c r="N110" s="1824"/>
      <c r="O110" s="1824"/>
      <c r="P110" s="1824"/>
      <c r="Q110" s="1824"/>
      <c r="R110" s="1824"/>
      <c r="S110" s="1824"/>
      <c r="T110" s="1824"/>
      <c r="U110" s="1825"/>
    </row>
    <row r="111" spans="2:21" s="883" customFormat="1" x14ac:dyDescent="0.3">
      <c r="B111" s="890"/>
      <c r="C111" s="889"/>
      <c r="D111" s="1823"/>
      <c r="E111" s="1824"/>
      <c r="F111" s="1824"/>
      <c r="G111" s="1824"/>
      <c r="H111" s="1824"/>
      <c r="I111" s="1824"/>
      <c r="J111" s="1824"/>
      <c r="K111" s="1824"/>
      <c r="L111" s="1824"/>
      <c r="M111" s="1824"/>
      <c r="N111" s="1824"/>
      <c r="O111" s="1824"/>
      <c r="P111" s="1824"/>
      <c r="Q111" s="1824"/>
      <c r="R111" s="1824"/>
      <c r="S111" s="1824"/>
      <c r="T111" s="1824"/>
      <c r="U111" s="1825"/>
    </row>
    <row r="112" spans="2:21" s="883" customFormat="1" x14ac:dyDescent="0.3">
      <c r="B112" s="890">
        <v>3</v>
      </c>
      <c r="C112" s="889" t="s">
        <v>1392</v>
      </c>
      <c r="D112" s="1823"/>
      <c r="E112" s="1824"/>
      <c r="F112" s="1824"/>
      <c r="G112" s="1824"/>
      <c r="H112" s="1824"/>
      <c r="I112" s="1824"/>
      <c r="J112" s="1824"/>
      <c r="K112" s="1824"/>
      <c r="L112" s="1824"/>
      <c r="M112" s="1824"/>
      <c r="N112" s="1824"/>
      <c r="O112" s="1824"/>
      <c r="P112" s="1824"/>
      <c r="Q112" s="1824"/>
      <c r="R112" s="1824"/>
      <c r="S112" s="1824"/>
      <c r="T112" s="1824"/>
      <c r="U112" s="1825"/>
    </row>
    <row r="113" spans="2:21" s="883" customFormat="1" x14ac:dyDescent="0.3">
      <c r="B113" s="882"/>
      <c r="C113" s="882"/>
      <c r="D113" s="1823"/>
      <c r="E113" s="1824"/>
      <c r="F113" s="1824"/>
      <c r="G113" s="1824"/>
      <c r="H113" s="1824"/>
      <c r="I113" s="1824"/>
      <c r="J113" s="1824"/>
      <c r="K113" s="1824"/>
      <c r="L113" s="1824"/>
      <c r="M113" s="1824"/>
      <c r="N113" s="1824"/>
      <c r="O113" s="1824"/>
      <c r="P113" s="1824"/>
      <c r="Q113" s="1824"/>
      <c r="R113" s="1824"/>
      <c r="S113" s="1824"/>
      <c r="T113" s="1824"/>
      <c r="U113" s="1825"/>
    </row>
    <row r="114" spans="2:21" s="883" customFormat="1" x14ac:dyDescent="0.3">
      <c r="B114" s="890">
        <v>4</v>
      </c>
      <c r="C114" s="889" t="s">
        <v>1393</v>
      </c>
      <c r="D114" s="1823"/>
      <c r="E114" s="1824"/>
      <c r="F114" s="1824"/>
      <c r="G114" s="1824"/>
      <c r="H114" s="1824"/>
      <c r="I114" s="1824"/>
      <c r="J114" s="1824"/>
      <c r="K114" s="1824"/>
      <c r="L114" s="1824"/>
      <c r="M114" s="1824"/>
      <c r="N114" s="1824"/>
      <c r="O114" s="1824"/>
      <c r="P114" s="1824"/>
      <c r="Q114" s="1824"/>
      <c r="R114" s="1824"/>
      <c r="S114" s="1824"/>
      <c r="T114" s="1824"/>
      <c r="U114" s="1825"/>
    </row>
    <row r="115" spans="2:21" x14ac:dyDescent="0.3">
      <c r="B115" s="891">
        <v>4.0999999999999996</v>
      </c>
      <c r="C115" s="886" t="s">
        <v>1394</v>
      </c>
      <c r="D115" s="1823"/>
      <c r="E115" s="1824"/>
      <c r="F115" s="1824"/>
      <c r="G115" s="1824"/>
      <c r="H115" s="1824"/>
      <c r="I115" s="1824"/>
      <c r="J115" s="1824"/>
      <c r="K115" s="1824"/>
      <c r="L115" s="1824"/>
      <c r="M115" s="1824"/>
      <c r="N115" s="1824"/>
      <c r="O115" s="1824"/>
      <c r="P115" s="1824"/>
      <c r="Q115" s="1824"/>
      <c r="R115" s="1824"/>
      <c r="S115" s="1824"/>
      <c r="T115" s="1824"/>
      <c r="U115" s="1825"/>
    </row>
    <row r="116" spans="2:21" x14ac:dyDescent="0.3">
      <c r="B116" s="891">
        <v>4.2</v>
      </c>
      <c r="C116" s="886" t="s">
        <v>1395</v>
      </c>
      <c r="D116" s="1823"/>
      <c r="E116" s="1824"/>
      <c r="F116" s="1824"/>
      <c r="G116" s="1824"/>
      <c r="H116" s="1824"/>
      <c r="I116" s="1824"/>
      <c r="J116" s="1824"/>
      <c r="K116" s="1824"/>
      <c r="L116" s="1824"/>
      <c r="M116" s="1824"/>
      <c r="N116" s="1824"/>
      <c r="O116" s="1824"/>
      <c r="P116" s="1824"/>
      <c r="Q116" s="1824"/>
      <c r="R116" s="1824"/>
      <c r="S116" s="1824"/>
      <c r="T116" s="1824"/>
      <c r="U116" s="1825"/>
    </row>
    <row r="117" spans="2:21" x14ac:dyDescent="0.3">
      <c r="B117" s="891">
        <v>4.3</v>
      </c>
      <c r="C117" s="892" t="s">
        <v>1396</v>
      </c>
      <c r="D117" s="1823"/>
      <c r="E117" s="1824"/>
      <c r="F117" s="1824"/>
      <c r="G117" s="1824"/>
      <c r="H117" s="1824"/>
      <c r="I117" s="1824"/>
      <c r="J117" s="1824"/>
      <c r="K117" s="1824"/>
      <c r="L117" s="1824"/>
      <c r="M117" s="1824"/>
      <c r="N117" s="1824"/>
      <c r="O117" s="1824"/>
      <c r="P117" s="1824"/>
      <c r="Q117" s="1824"/>
      <c r="R117" s="1824"/>
      <c r="S117" s="1824"/>
      <c r="T117" s="1824"/>
      <c r="U117" s="1825"/>
    </row>
    <row r="118" spans="2:21" x14ac:dyDescent="0.3">
      <c r="B118" s="891">
        <v>4.4000000000000004</v>
      </c>
      <c r="C118" s="892" t="s">
        <v>1397</v>
      </c>
      <c r="D118" s="1823"/>
      <c r="E118" s="1824"/>
      <c r="F118" s="1824"/>
      <c r="G118" s="1824"/>
      <c r="H118" s="1824"/>
      <c r="I118" s="1824"/>
      <c r="J118" s="1824"/>
      <c r="K118" s="1824"/>
      <c r="L118" s="1824"/>
      <c r="M118" s="1824"/>
      <c r="N118" s="1824"/>
      <c r="O118" s="1824"/>
      <c r="P118" s="1824"/>
      <c r="Q118" s="1824"/>
      <c r="R118" s="1824"/>
      <c r="S118" s="1824"/>
      <c r="T118" s="1824"/>
      <c r="U118" s="1825"/>
    </row>
    <row r="119" spans="2:21" x14ac:dyDescent="0.3">
      <c r="B119" s="891">
        <v>4.5</v>
      </c>
      <c r="C119" s="892" t="s">
        <v>1398</v>
      </c>
      <c r="D119" s="1823"/>
      <c r="E119" s="1824"/>
      <c r="F119" s="1824"/>
      <c r="G119" s="1824"/>
      <c r="H119" s="1824"/>
      <c r="I119" s="1824"/>
      <c r="J119" s="1824"/>
      <c r="K119" s="1824"/>
      <c r="L119" s="1824"/>
      <c r="M119" s="1824"/>
      <c r="N119" s="1824"/>
      <c r="O119" s="1824"/>
      <c r="P119" s="1824"/>
      <c r="Q119" s="1824"/>
      <c r="R119" s="1824"/>
      <c r="S119" s="1824"/>
      <c r="T119" s="1824"/>
      <c r="U119" s="1825"/>
    </row>
    <row r="120" spans="2:21" x14ac:dyDescent="0.3">
      <c r="B120" s="891">
        <v>4.5999999999999996</v>
      </c>
      <c r="C120" s="892" t="s">
        <v>1399</v>
      </c>
      <c r="D120" s="1823"/>
      <c r="E120" s="1824"/>
      <c r="F120" s="1824"/>
      <c r="G120" s="1824"/>
      <c r="H120" s="1824"/>
      <c r="I120" s="1824"/>
      <c r="J120" s="1824"/>
      <c r="K120" s="1824"/>
      <c r="L120" s="1824"/>
      <c r="M120" s="1824"/>
      <c r="N120" s="1824"/>
      <c r="O120" s="1824"/>
      <c r="P120" s="1824"/>
      <c r="Q120" s="1824"/>
      <c r="R120" s="1824"/>
      <c r="S120" s="1824"/>
      <c r="T120" s="1824"/>
      <c r="U120" s="1825"/>
    </row>
    <row r="121" spans="2:21" x14ac:dyDescent="0.3">
      <c r="B121" s="891">
        <v>4.7</v>
      </c>
      <c r="C121" s="892" t="s">
        <v>1400</v>
      </c>
      <c r="D121" s="1823"/>
      <c r="E121" s="1824"/>
      <c r="F121" s="1824"/>
      <c r="G121" s="1824"/>
      <c r="H121" s="1824"/>
      <c r="I121" s="1824"/>
      <c r="J121" s="1824"/>
      <c r="K121" s="1824"/>
      <c r="L121" s="1824"/>
      <c r="M121" s="1824"/>
      <c r="N121" s="1824"/>
      <c r="O121" s="1824"/>
      <c r="P121" s="1824"/>
      <c r="Q121" s="1824"/>
      <c r="R121" s="1824"/>
      <c r="S121" s="1824"/>
      <c r="T121" s="1824"/>
      <c r="U121" s="1825"/>
    </row>
    <row r="122" spans="2:21" x14ac:dyDescent="0.3">
      <c r="B122" s="891">
        <v>4.8</v>
      </c>
      <c r="C122" s="886" t="s">
        <v>1401</v>
      </c>
      <c r="D122" s="1823"/>
      <c r="E122" s="1824"/>
      <c r="F122" s="1824"/>
      <c r="G122" s="1824"/>
      <c r="H122" s="1824"/>
      <c r="I122" s="1824"/>
      <c r="J122" s="1824"/>
      <c r="K122" s="1824"/>
      <c r="L122" s="1824"/>
      <c r="M122" s="1824"/>
      <c r="N122" s="1824"/>
      <c r="O122" s="1824"/>
      <c r="P122" s="1824"/>
      <c r="Q122" s="1824"/>
      <c r="R122" s="1824"/>
      <c r="S122" s="1824"/>
      <c r="T122" s="1824"/>
      <c r="U122" s="1825"/>
    </row>
    <row r="123" spans="2:21" x14ac:dyDescent="0.3">
      <c r="B123" s="891">
        <v>4.9000000000000004</v>
      </c>
      <c r="C123" s="886" t="s">
        <v>1402</v>
      </c>
      <c r="D123" s="1823"/>
      <c r="E123" s="1824"/>
      <c r="F123" s="1824"/>
      <c r="G123" s="1824"/>
      <c r="H123" s="1824"/>
      <c r="I123" s="1824"/>
      <c r="J123" s="1824"/>
      <c r="K123" s="1824"/>
      <c r="L123" s="1824"/>
      <c r="M123" s="1824"/>
      <c r="N123" s="1824"/>
      <c r="O123" s="1824"/>
      <c r="P123" s="1824"/>
      <c r="Q123" s="1824"/>
      <c r="R123" s="1824"/>
      <c r="S123" s="1824"/>
      <c r="T123" s="1824"/>
      <c r="U123" s="1825"/>
    </row>
    <row r="124" spans="2:21" x14ac:dyDescent="0.3">
      <c r="B124" s="899">
        <v>4.0999999999999996</v>
      </c>
      <c r="C124" s="886" t="s">
        <v>1403</v>
      </c>
      <c r="D124" s="1823"/>
      <c r="E124" s="1824"/>
      <c r="F124" s="1824"/>
      <c r="G124" s="1824"/>
      <c r="H124" s="1824"/>
      <c r="I124" s="1824"/>
      <c r="J124" s="1824"/>
      <c r="K124" s="1824"/>
      <c r="L124" s="1824"/>
      <c r="M124" s="1824"/>
      <c r="N124" s="1824"/>
      <c r="O124" s="1824"/>
      <c r="P124" s="1824"/>
      <c r="Q124" s="1824"/>
      <c r="R124" s="1824"/>
      <c r="S124" s="1824"/>
      <c r="T124" s="1824"/>
      <c r="U124" s="1825"/>
    </row>
    <row r="125" spans="2:21" x14ac:dyDescent="0.3">
      <c r="B125" s="899">
        <v>4.1100000000000003</v>
      </c>
      <c r="C125" s="886" t="s">
        <v>1404</v>
      </c>
      <c r="D125" s="1823"/>
      <c r="E125" s="1824"/>
      <c r="F125" s="1824"/>
      <c r="G125" s="1824"/>
      <c r="H125" s="1824"/>
      <c r="I125" s="1824"/>
      <c r="J125" s="1824"/>
      <c r="K125" s="1824"/>
      <c r="L125" s="1824"/>
      <c r="M125" s="1824"/>
      <c r="N125" s="1824"/>
      <c r="O125" s="1824"/>
      <c r="P125" s="1824"/>
      <c r="Q125" s="1824"/>
      <c r="R125" s="1824"/>
      <c r="S125" s="1824"/>
      <c r="T125" s="1824"/>
      <c r="U125" s="1825"/>
    </row>
    <row r="126" spans="2:21" x14ac:dyDescent="0.3">
      <c r="B126" s="899">
        <v>4.12</v>
      </c>
      <c r="C126" s="892" t="s">
        <v>1405</v>
      </c>
      <c r="D126" s="1823"/>
      <c r="E126" s="1824"/>
      <c r="F126" s="1824"/>
      <c r="G126" s="1824"/>
      <c r="H126" s="1824"/>
      <c r="I126" s="1824"/>
      <c r="J126" s="1824"/>
      <c r="K126" s="1824"/>
      <c r="L126" s="1824"/>
      <c r="M126" s="1824"/>
      <c r="N126" s="1824"/>
      <c r="O126" s="1824"/>
      <c r="P126" s="1824"/>
      <c r="Q126" s="1824"/>
      <c r="R126" s="1824"/>
      <c r="S126" s="1824"/>
      <c r="T126" s="1824"/>
      <c r="U126" s="1825"/>
    </row>
    <row r="127" spans="2:21" x14ac:dyDescent="0.3">
      <c r="B127" s="899">
        <v>4.13</v>
      </c>
      <c r="C127" s="886" t="s">
        <v>1406</v>
      </c>
      <c r="D127" s="1823"/>
      <c r="E127" s="1824"/>
      <c r="F127" s="1824"/>
      <c r="G127" s="1824"/>
      <c r="H127" s="1824"/>
      <c r="I127" s="1824"/>
      <c r="J127" s="1824"/>
      <c r="K127" s="1824"/>
      <c r="L127" s="1824"/>
      <c r="M127" s="1824"/>
      <c r="N127" s="1824"/>
      <c r="O127" s="1824"/>
      <c r="P127" s="1824"/>
      <c r="Q127" s="1824"/>
      <c r="R127" s="1824"/>
      <c r="S127" s="1824"/>
      <c r="T127" s="1824"/>
      <c r="U127" s="1825"/>
    </row>
    <row r="128" spans="2:21" x14ac:dyDescent="0.3">
      <c r="B128" s="899">
        <v>4.1399999999999997</v>
      </c>
      <c r="C128" s="886" t="s">
        <v>1407</v>
      </c>
      <c r="D128" s="1823"/>
      <c r="E128" s="1824"/>
      <c r="F128" s="1824"/>
      <c r="G128" s="1824"/>
      <c r="H128" s="1824"/>
      <c r="I128" s="1824"/>
      <c r="J128" s="1824"/>
      <c r="K128" s="1824"/>
      <c r="L128" s="1824"/>
      <c r="M128" s="1824"/>
      <c r="N128" s="1824"/>
      <c r="O128" s="1824"/>
      <c r="P128" s="1824"/>
      <c r="Q128" s="1824"/>
      <c r="R128" s="1824"/>
      <c r="S128" s="1824"/>
      <c r="T128" s="1824"/>
      <c r="U128" s="1825"/>
    </row>
    <row r="129" spans="2:21" x14ac:dyDescent="0.3">
      <c r="B129" s="899">
        <v>4.1500000000000004</v>
      </c>
      <c r="C129" s="886" t="s">
        <v>1408</v>
      </c>
      <c r="D129" s="1823"/>
      <c r="E129" s="1824"/>
      <c r="F129" s="1824"/>
      <c r="G129" s="1824"/>
      <c r="H129" s="1824"/>
      <c r="I129" s="1824"/>
      <c r="J129" s="1824"/>
      <c r="K129" s="1824"/>
      <c r="L129" s="1824"/>
      <c r="M129" s="1824"/>
      <c r="N129" s="1824"/>
      <c r="O129" s="1824"/>
      <c r="P129" s="1824"/>
      <c r="Q129" s="1824"/>
      <c r="R129" s="1824"/>
      <c r="S129" s="1824"/>
      <c r="T129" s="1824"/>
      <c r="U129" s="1825"/>
    </row>
    <row r="130" spans="2:21" x14ac:dyDescent="0.3">
      <c r="B130" s="899">
        <v>4.16</v>
      </c>
      <c r="C130" s="886" t="s">
        <v>1409</v>
      </c>
      <c r="D130" s="1823"/>
      <c r="E130" s="1824"/>
      <c r="F130" s="1824"/>
      <c r="G130" s="1824"/>
      <c r="H130" s="1824"/>
      <c r="I130" s="1824"/>
      <c r="J130" s="1824"/>
      <c r="K130" s="1824"/>
      <c r="L130" s="1824"/>
      <c r="M130" s="1824"/>
      <c r="N130" s="1824"/>
      <c r="O130" s="1824"/>
      <c r="P130" s="1824"/>
      <c r="Q130" s="1824"/>
      <c r="R130" s="1824"/>
      <c r="S130" s="1824"/>
      <c r="T130" s="1824"/>
      <c r="U130" s="1825"/>
    </row>
    <row r="131" spans="2:21" x14ac:dyDescent="0.3">
      <c r="B131" s="899">
        <v>4.17</v>
      </c>
      <c r="C131" s="886" t="s">
        <v>251</v>
      </c>
      <c r="D131" s="1823"/>
      <c r="E131" s="1824"/>
      <c r="F131" s="1824"/>
      <c r="G131" s="1824"/>
      <c r="H131" s="1824"/>
      <c r="I131" s="1824"/>
      <c r="J131" s="1824"/>
      <c r="K131" s="1824"/>
      <c r="L131" s="1824"/>
      <c r="M131" s="1824"/>
      <c r="N131" s="1824"/>
      <c r="O131" s="1824"/>
      <c r="P131" s="1824"/>
      <c r="Q131" s="1824"/>
      <c r="R131" s="1824"/>
      <c r="S131" s="1824"/>
      <c r="T131" s="1824"/>
      <c r="U131" s="1825"/>
    </row>
    <row r="132" spans="2:21" s="883" customFormat="1" x14ac:dyDescent="0.3">
      <c r="B132" s="900"/>
      <c r="C132" s="889" t="s">
        <v>1410</v>
      </c>
      <c r="D132" s="1823"/>
      <c r="E132" s="1824"/>
      <c r="F132" s="1824"/>
      <c r="G132" s="1824"/>
      <c r="H132" s="1824"/>
      <c r="I132" s="1824"/>
      <c r="J132" s="1824"/>
      <c r="K132" s="1824"/>
      <c r="L132" s="1824"/>
      <c r="M132" s="1824"/>
      <c r="N132" s="1824"/>
      <c r="O132" s="1824"/>
      <c r="P132" s="1824"/>
      <c r="Q132" s="1824"/>
      <c r="R132" s="1824"/>
      <c r="S132" s="1824"/>
      <c r="T132" s="1824"/>
      <c r="U132" s="1825"/>
    </row>
    <row r="133" spans="2:21" x14ac:dyDescent="0.3">
      <c r="B133" s="899"/>
      <c r="C133" s="886"/>
      <c r="D133" s="1823"/>
      <c r="E133" s="1824"/>
      <c r="F133" s="1824"/>
      <c r="G133" s="1824"/>
      <c r="H133" s="1824"/>
      <c r="I133" s="1824"/>
      <c r="J133" s="1824"/>
      <c r="K133" s="1824"/>
      <c r="L133" s="1824"/>
      <c r="M133" s="1824"/>
      <c r="N133" s="1824"/>
      <c r="O133" s="1824"/>
      <c r="P133" s="1824"/>
      <c r="Q133" s="1824"/>
      <c r="R133" s="1824"/>
      <c r="S133" s="1824"/>
      <c r="T133" s="1824"/>
      <c r="U133" s="1825"/>
    </row>
    <row r="134" spans="2:21" s="883" customFormat="1" x14ac:dyDescent="0.3">
      <c r="B134" s="890">
        <v>5</v>
      </c>
      <c r="C134" s="898" t="s">
        <v>1411</v>
      </c>
      <c r="D134" s="1823"/>
      <c r="E134" s="1824"/>
      <c r="F134" s="1824"/>
      <c r="G134" s="1824"/>
      <c r="H134" s="1824"/>
      <c r="I134" s="1824"/>
      <c r="J134" s="1824"/>
      <c r="K134" s="1824"/>
      <c r="L134" s="1824"/>
      <c r="M134" s="1824"/>
      <c r="N134" s="1824"/>
      <c r="O134" s="1824"/>
      <c r="P134" s="1824"/>
      <c r="Q134" s="1824"/>
      <c r="R134" s="1824"/>
      <c r="S134" s="1824"/>
      <c r="T134" s="1824"/>
      <c r="U134" s="1825"/>
    </row>
    <row r="135" spans="2:21" x14ac:dyDescent="0.3">
      <c r="B135" s="891">
        <v>5.0999999999999996</v>
      </c>
      <c r="C135" s="886" t="s">
        <v>1412</v>
      </c>
      <c r="D135" s="1823"/>
      <c r="E135" s="1824"/>
      <c r="F135" s="1824"/>
      <c r="G135" s="1824"/>
      <c r="H135" s="1824"/>
      <c r="I135" s="1824"/>
      <c r="J135" s="1824"/>
      <c r="K135" s="1824"/>
      <c r="L135" s="1824"/>
      <c r="M135" s="1824"/>
      <c r="N135" s="1824"/>
      <c r="O135" s="1824"/>
      <c r="P135" s="1824"/>
      <c r="Q135" s="1824"/>
      <c r="R135" s="1824"/>
      <c r="S135" s="1824"/>
      <c r="T135" s="1824"/>
      <c r="U135" s="1825"/>
    </row>
    <row r="136" spans="2:21" x14ac:dyDescent="0.3">
      <c r="B136" s="891">
        <v>5.2</v>
      </c>
      <c r="C136" s="886" t="s">
        <v>1413</v>
      </c>
      <c r="D136" s="1823"/>
      <c r="E136" s="1824"/>
      <c r="F136" s="1824"/>
      <c r="G136" s="1824"/>
      <c r="H136" s="1824"/>
      <c r="I136" s="1824"/>
      <c r="J136" s="1824"/>
      <c r="K136" s="1824"/>
      <c r="L136" s="1824"/>
      <c r="M136" s="1824"/>
      <c r="N136" s="1824"/>
      <c r="O136" s="1824"/>
      <c r="P136" s="1824"/>
      <c r="Q136" s="1824"/>
      <c r="R136" s="1824"/>
      <c r="S136" s="1824"/>
      <c r="T136" s="1824"/>
      <c r="U136" s="1825"/>
    </row>
    <row r="137" spans="2:21" x14ac:dyDescent="0.3">
      <c r="B137" s="891">
        <v>5.3</v>
      </c>
      <c r="C137" s="886" t="s">
        <v>1414</v>
      </c>
      <c r="D137" s="1823"/>
      <c r="E137" s="1824"/>
      <c r="F137" s="1824"/>
      <c r="G137" s="1824"/>
      <c r="H137" s="1824"/>
      <c r="I137" s="1824"/>
      <c r="J137" s="1824"/>
      <c r="K137" s="1824"/>
      <c r="L137" s="1824"/>
      <c r="M137" s="1824"/>
      <c r="N137" s="1824"/>
      <c r="O137" s="1824"/>
      <c r="P137" s="1824"/>
      <c r="Q137" s="1824"/>
      <c r="R137" s="1824"/>
      <c r="S137" s="1824"/>
      <c r="T137" s="1824"/>
      <c r="U137" s="1825"/>
    </row>
    <row r="138" spans="2:21" x14ac:dyDescent="0.3">
      <c r="B138" s="891">
        <v>5.4</v>
      </c>
      <c r="C138" s="886" t="s">
        <v>1415</v>
      </c>
      <c r="D138" s="1823"/>
      <c r="E138" s="1824"/>
      <c r="F138" s="1824"/>
      <c r="G138" s="1824"/>
      <c r="H138" s="1824"/>
      <c r="I138" s="1824"/>
      <c r="J138" s="1824"/>
      <c r="K138" s="1824"/>
      <c r="L138" s="1824"/>
      <c r="M138" s="1824"/>
      <c r="N138" s="1824"/>
      <c r="O138" s="1824"/>
      <c r="P138" s="1824"/>
      <c r="Q138" s="1824"/>
      <c r="R138" s="1824"/>
      <c r="S138" s="1824"/>
      <c r="T138" s="1824"/>
      <c r="U138" s="1825"/>
    </row>
    <row r="139" spans="2:21" x14ac:dyDescent="0.3">
      <c r="B139" s="891">
        <v>5.5</v>
      </c>
      <c r="C139" s="886" t="s">
        <v>1416</v>
      </c>
      <c r="D139" s="1823"/>
      <c r="E139" s="1824"/>
      <c r="F139" s="1824"/>
      <c r="G139" s="1824"/>
      <c r="H139" s="1824"/>
      <c r="I139" s="1824"/>
      <c r="J139" s="1824"/>
      <c r="K139" s="1824"/>
      <c r="L139" s="1824"/>
      <c r="M139" s="1824"/>
      <c r="N139" s="1824"/>
      <c r="O139" s="1824"/>
      <c r="P139" s="1824"/>
      <c r="Q139" s="1824"/>
      <c r="R139" s="1824"/>
      <c r="S139" s="1824"/>
      <c r="T139" s="1824"/>
      <c r="U139" s="1825"/>
    </row>
    <row r="140" spans="2:21" x14ac:dyDescent="0.3">
      <c r="B140" s="891">
        <v>5.6</v>
      </c>
      <c r="C140" s="886" t="s">
        <v>1417</v>
      </c>
      <c r="D140" s="1823"/>
      <c r="E140" s="1824"/>
      <c r="F140" s="1824"/>
      <c r="G140" s="1824"/>
      <c r="H140" s="1824"/>
      <c r="I140" s="1824"/>
      <c r="J140" s="1824"/>
      <c r="K140" s="1824"/>
      <c r="L140" s="1824"/>
      <c r="M140" s="1824"/>
      <c r="N140" s="1824"/>
      <c r="O140" s="1824"/>
      <c r="P140" s="1824"/>
      <c r="Q140" s="1824"/>
      <c r="R140" s="1824"/>
      <c r="S140" s="1824"/>
      <c r="T140" s="1824"/>
      <c r="U140" s="1825"/>
    </row>
    <row r="141" spans="2:21" s="883" customFormat="1" x14ac:dyDescent="0.3">
      <c r="B141" s="890">
        <v>5.7</v>
      </c>
      <c r="C141" s="898" t="s">
        <v>1418</v>
      </c>
      <c r="D141" s="1823"/>
      <c r="E141" s="1824"/>
      <c r="F141" s="1824"/>
      <c r="G141" s="1824"/>
      <c r="H141" s="1824"/>
      <c r="I141" s="1824"/>
      <c r="J141" s="1824"/>
      <c r="K141" s="1824"/>
      <c r="L141" s="1824"/>
      <c r="M141" s="1824"/>
      <c r="N141" s="1824"/>
      <c r="O141" s="1824"/>
      <c r="P141" s="1824"/>
      <c r="Q141" s="1824"/>
      <c r="R141" s="1824"/>
      <c r="S141" s="1824"/>
      <c r="T141" s="1824"/>
      <c r="U141" s="1825"/>
    </row>
    <row r="142" spans="2:21" s="883" customFormat="1" x14ac:dyDescent="0.3">
      <c r="B142" s="890"/>
      <c r="C142" s="898"/>
      <c r="D142" s="1823"/>
      <c r="E142" s="1824"/>
      <c r="F142" s="1824"/>
      <c r="G142" s="1824"/>
      <c r="H142" s="1824"/>
      <c r="I142" s="1824"/>
      <c r="J142" s="1824"/>
      <c r="K142" s="1824"/>
      <c r="L142" s="1824"/>
      <c r="M142" s="1824"/>
      <c r="N142" s="1824"/>
      <c r="O142" s="1824"/>
      <c r="P142" s="1824"/>
      <c r="Q142" s="1824"/>
      <c r="R142" s="1824"/>
      <c r="S142" s="1824"/>
      <c r="T142" s="1824"/>
      <c r="U142" s="1825"/>
    </row>
    <row r="143" spans="2:21" s="883" customFormat="1" x14ac:dyDescent="0.3">
      <c r="B143" s="890">
        <v>6</v>
      </c>
      <c r="C143" s="889" t="s">
        <v>1419</v>
      </c>
      <c r="D143" s="1823"/>
      <c r="E143" s="1824"/>
      <c r="F143" s="1824"/>
      <c r="G143" s="1824"/>
      <c r="H143" s="1824"/>
      <c r="I143" s="1824"/>
      <c r="J143" s="1824"/>
      <c r="K143" s="1824"/>
      <c r="L143" s="1824"/>
      <c r="M143" s="1824"/>
      <c r="N143" s="1824"/>
      <c r="O143" s="1824"/>
      <c r="P143" s="1824"/>
      <c r="Q143" s="1824"/>
      <c r="R143" s="1824"/>
      <c r="S143" s="1824"/>
      <c r="T143" s="1824"/>
      <c r="U143" s="1825"/>
    </row>
    <row r="144" spans="2:21" x14ac:dyDescent="0.3">
      <c r="B144" s="891">
        <v>6.1</v>
      </c>
      <c r="C144" s="886" t="s">
        <v>1420</v>
      </c>
      <c r="D144" s="1823"/>
      <c r="E144" s="1824"/>
      <c r="F144" s="1824"/>
      <c r="G144" s="1824"/>
      <c r="H144" s="1824"/>
      <c r="I144" s="1824"/>
      <c r="J144" s="1824"/>
      <c r="K144" s="1824"/>
      <c r="L144" s="1824"/>
      <c r="M144" s="1824"/>
      <c r="N144" s="1824"/>
      <c r="O144" s="1824"/>
      <c r="P144" s="1824"/>
      <c r="Q144" s="1824"/>
      <c r="R144" s="1824"/>
      <c r="S144" s="1824"/>
      <c r="T144" s="1824"/>
      <c r="U144" s="1825"/>
    </row>
    <row r="145" spans="2:21" x14ac:dyDescent="0.3">
      <c r="B145" s="897">
        <v>6.2</v>
      </c>
      <c r="C145" s="892" t="s">
        <v>1421</v>
      </c>
      <c r="D145" s="1823"/>
      <c r="E145" s="1824"/>
      <c r="F145" s="1824"/>
      <c r="G145" s="1824"/>
      <c r="H145" s="1824"/>
      <c r="I145" s="1824"/>
      <c r="J145" s="1824"/>
      <c r="K145" s="1824"/>
      <c r="L145" s="1824"/>
      <c r="M145" s="1824"/>
      <c r="N145" s="1824"/>
      <c r="O145" s="1824"/>
      <c r="P145" s="1824"/>
      <c r="Q145" s="1824"/>
      <c r="R145" s="1824"/>
      <c r="S145" s="1824"/>
      <c r="T145" s="1824"/>
      <c r="U145" s="1825"/>
    </row>
    <row r="146" spans="2:21" x14ac:dyDescent="0.3">
      <c r="B146" s="891">
        <v>6.3</v>
      </c>
      <c r="C146" s="886" t="s">
        <v>1422</v>
      </c>
      <c r="D146" s="1823"/>
      <c r="E146" s="1824"/>
      <c r="F146" s="1824"/>
      <c r="G146" s="1824"/>
      <c r="H146" s="1824"/>
      <c r="I146" s="1824"/>
      <c r="J146" s="1824"/>
      <c r="K146" s="1824"/>
      <c r="L146" s="1824"/>
      <c r="M146" s="1824"/>
      <c r="N146" s="1824"/>
      <c r="O146" s="1824"/>
      <c r="P146" s="1824"/>
      <c r="Q146" s="1824"/>
      <c r="R146" s="1824"/>
      <c r="S146" s="1824"/>
      <c r="T146" s="1824"/>
      <c r="U146" s="1825"/>
    </row>
    <row r="147" spans="2:21" x14ac:dyDescent="0.3">
      <c r="B147" s="897">
        <v>6.4</v>
      </c>
      <c r="C147" s="886" t="s">
        <v>1423</v>
      </c>
      <c r="D147" s="1823"/>
      <c r="E147" s="1824"/>
      <c r="F147" s="1824"/>
      <c r="G147" s="1824"/>
      <c r="H147" s="1824"/>
      <c r="I147" s="1824"/>
      <c r="J147" s="1824"/>
      <c r="K147" s="1824"/>
      <c r="L147" s="1824"/>
      <c r="M147" s="1824"/>
      <c r="N147" s="1824"/>
      <c r="O147" s="1824"/>
      <c r="P147" s="1824"/>
      <c r="Q147" s="1824"/>
      <c r="R147" s="1824"/>
      <c r="S147" s="1824"/>
      <c r="T147" s="1824"/>
      <c r="U147" s="1825"/>
    </row>
    <row r="148" spans="2:21" s="883" customFormat="1" x14ac:dyDescent="0.3">
      <c r="B148" s="890">
        <v>6.5</v>
      </c>
      <c r="C148" s="889" t="s">
        <v>1424</v>
      </c>
      <c r="D148" s="1823"/>
      <c r="E148" s="1824"/>
      <c r="F148" s="1824"/>
      <c r="G148" s="1824"/>
      <c r="H148" s="1824"/>
      <c r="I148" s="1824"/>
      <c r="J148" s="1824"/>
      <c r="K148" s="1824"/>
      <c r="L148" s="1824"/>
      <c r="M148" s="1824"/>
      <c r="N148" s="1824"/>
      <c r="O148" s="1824"/>
      <c r="P148" s="1824"/>
      <c r="Q148" s="1824"/>
      <c r="R148" s="1824"/>
      <c r="S148" s="1824"/>
      <c r="T148" s="1824"/>
      <c r="U148" s="1825"/>
    </row>
    <row r="149" spans="2:21" s="883" customFormat="1" x14ac:dyDescent="0.3">
      <c r="B149" s="890"/>
      <c r="C149" s="889"/>
      <c r="D149" s="1823"/>
      <c r="E149" s="1824"/>
      <c r="F149" s="1824"/>
      <c r="G149" s="1824"/>
      <c r="H149" s="1824"/>
      <c r="I149" s="1824"/>
      <c r="J149" s="1824"/>
      <c r="K149" s="1824"/>
      <c r="L149" s="1824"/>
      <c r="M149" s="1824"/>
      <c r="N149" s="1824"/>
      <c r="O149" s="1824"/>
      <c r="P149" s="1824"/>
      <c r="Q149" s="1824"/>
      <c r="R149" s="1824"/>
      <c r="S149" s="1824"/>
      <c r="T149" s="1824"/>
      <c r="U149" s="1825"/>
    </row>
    <row r="150" spans="2:21" s="883" customFormat="1" x14ac:dyDescent="0.3">
      <c r="B150" s="890">
        <v>7</v>
      </c>
      <c r="C150" s="889" t="s">
        <v>1425</v>
      </c>
      <c r="D150" s="1823"/>
      <c r="E150" s="1824"/>
      <c r="F150" s="1824"/>
      <c r="G150" s="1824"/>
      <c r="H150" s="1824"/>
      <c r="I150" s="1824"/>
      <c r="J150" s="1824"/>
      <c r="K150" s="1824"/>
      <c r="L150" s="1824"/>
      <c r="M150" s="1824"/>
      <c r="N150" s="1824"/>
      <c r="O150" s="1824"/>
      <c r="P150" s="1824"/>
      <c r="Q150" s="1824"/>
      <c r="R150" s="1824"/>
      <c r="S150" s="1824"/>
      <c r="T150" s="1824"/>
      <c r="U150" s="1825"/>
    </row>
    <row r="151" spans="2:21" s="883" customFormat="1" ht="18" customHeight="1" x14ac:dyDescent="0.3">
      <c r="B151" s="897">
        <v>7.1</v>
      </c>
      <c r="C151" s="886" t="s">
        <v>1426</v>
      </c>
      <c r="D151" s="1823"/>
      <c r="E151" s="1824"/>
      <c r="F151" s="1824"/>
      <c r="G151" s="1824"/>
      <c r="H151" s="1824"/>
      <c r="I151" s="1824"/>
      <c r="J151" s="1824"/>
      <c r="K151" s="1824"/>
      <c r="L151" s="1824"/>
      <c r="M151" s="1824"/>
      <c r="N151" s="1824"/>
      <c r="O151" s="1824"/>
      <c r="P151" s="1824"/>
      <c r="Q151" s="1824"/>
      <c r="R151" s="1824"/>
      <c r="S151" s="1824"/>
      <c r="T151" s="1824"/>
      <c r="U151" s="1825"/>
    </row>
    <row r="152" spans="2:21" x14ac:dyDescent="0.3">
      <c r="B152" s="897">
        <v>7.2</v>
      </c>
      <c r="C152" s="892" t="s">
        <v>1427</v>
      </c>
      <c r="D152" s="1823"/>
      <c r="E152" s="1824"/>
      <c r="F152" s="1824"/>
      <c r="G152" s="1824"/>
      <c r="H152" s="1824"/>
      <c r="I152" s="1824"/>
      <c r="J152" s="1824"/>
      <c r="K152" s="1824"/>
      <c r="L152" s="1824"/>
      <c r="M152" s="1824"/>
      <c r="N152" s="1824"/>
      <c r="O152" s="1824"/>
      <c r="P152" s="1824"/>
      <c r="Q152" s="1824"/>
      <c r="R152" s="1824"/>
      <c r="S152" s="1824"/>
      <c r="T152" s="1824"/>
      <c r="U152" s="1825"/>
    </row>
    <row r="153" spans="2:21" x14ac:dyDescent="0.3">
      <c r="B153" s="897"/>
      <c r="C153" s="892"/>
      <c r="D153" s="1823"/>
      <c r="E153" s="1824"/>
      <c r="F153" s="1824"/>
      <c r="G153" s="1824"/>
      <c r="H153" s="1824"/>
      <c r="I153" s="1824"/>
      <c r="J153" s="1824"/>
      <c r="K153" s="1824"/>
      <c r="L153" s="1824"/>
      <c r="M153" s="1824"/>
      <c r="N153" s="1824"/>
      <c r="O153" s="1824"/>
      <c r="P153" s="1824"/>
      <c r="Q153" s="1824"/>
      <c r="R153" s="1824"/>
      <c r="S153" s="1824"/>
      <c r="T153" s="1824"/>
      <c r="U153" s="1825"/>
    </row>
    <row r="154" spans="2:21" s="883" customFormat="1" x14ac:dyDescent="0.3">
      <c r="B154" s="890">
        <v>8</v>
      </c>
      <c r="C154" s="889" t="s">
        <v>1428</v>
      </c>
      <c r="D154" s="1826"/>
      <c r="E154" s="1827"/>
      <c r="F154" s="1827"/>
      <c r="G154" s="1827"/>
      <c r="H154" s="1827"/>
      <c r="I154" s="1827"/>
      <c r="J154" s="1827"/>
      <c r="K154" s="1827"/>
      <c r="L154" s="1827"/>
      <c r="M154" s="1827"/>
      <c r="N154" s="1827"/>
      <c r="O154" s="1827"/>
      <c r="P154" s="1827"/>
      <c r="Q154" s="1827"/>
      <c r="R154" s="1827"/>
      <c r="S154" s="1827"/>
      <c r="T154" s="1827"/>
      <c r="U154" s="1828"/>
    </row>
    <row r="155" spans="2:21" x14ac:dyDescent="0.3">
      <c r="L155" s="901"/>
    </row>
  </sheetData>
  <mergeCells count="11">
    <mergeCell ref="D10:U154"/>
    <mergeCell ref="B6:B9"/>
    <mergeCell ref="C6:C9"/>
    <mergeCell ref="D6:S6"/>
    <mergeCell ref="T6:T8"/>
    <mergeCell ref="U6:U9"/>
    <mergeCell ref="D7:G7"/>
    <mergeCell ref="H7:J7"/>
    <mergeCell ref="K7:M7"/>
    <mergeCell ref="N7:P7"/>
    <mergeCell ref="Q7:S7"/>
  </mergeCells>
  <printOptions horizontalCentered="1"/>
  <pageMargins left="0.35433070866141703" right="0.23622047244094499" top="0.82677165354330695" bottom="0.62992125984252001" header="0.31496062992126" footer="0.196850393700787"/>
  <pageSetup paperSize="9" scale="40" fitToHeight="0" orientation="landscape" r:id="rId1"/>
  <headerFooter alignWithMargins="0"/>
  <rowBreaks count="1" manualBreakCount="1">
    <brk id="80" min="1" max="2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N76"/>
  <sheetViews>
    <sheetView showGridLines="0" view="pageBreakPreview" zoomScale="80" zoomScaleNormal="60" zoomScaleSheetLayoutView="80" workbookViewId="0">
      <selection activeCell="A2" sqref="A2:T2"/>
    </sheetView>
  </sheetViews>
  <sheetFormatPr defaultColWidth="9.08984375" defaultRowHeight="14" x14ac:dyDescent="0.3"/>
  <cols>
    <col min="1" max="1" width="4.6328125" style="902" customWidth="1"/>
    <col min="2" max="2" width="9.08984375" style="902" customWidth="1"/>
    <col min="3" max="12" width="16.54296875" style="902" customWidth="1"/>
    <col min="13" max="13" width="16.54296875" style="904" customWidth="1"/>
    <col min="14" max="14" width="23.08984375" style="902" customWidth="1"/>
    <col min="15" max="256" width="9.08984375" style="902"/>
    <col min="257" max="257" width="4.6328125" style="902" customWidth="1"/>
    <col min="258" max="258" width="10.54296875" style="902" customWidth="1"/>
    <col min="259" max="259" width="49.08984375" style="902" customWidth="1"/>
    <col min="260" max="260" width="68.54296875" style="902" customWidth="1"/>
    <col min="261" max="261" width="35.453125" style="902" customWidth="1"/>
    <col min="262" max="262" width="21" style="902" customWidth="1"/>
    <col min="263" max="263" width="28.453125" style="902" customWidth="1"/>
    <col min="264" max="264" width="30.6328125" style="902" customWidth="1"/>
    <col min="265" max="265" width="29.54296875" style="902" customWidth="1"/>
    <col min="266" max="266" width="33.54296875" style="902" customWidth="1"/>
    <col min="267" max="267" width="26.54296875" style="902" customWidth="1"/>
    <col min="268" max="268" width="31.54296875" style="902" customWidth="1"/>
    <col min="269" max="269" width="34.36328125" style="902" customWidth="1"/>
    <col min="270" max="270" width="45.08984375" style="902" customWidth="1"/>
    <col min="271" max="512" width="9.08984375" style="902"/>
    <col min="513" max="513" width="4.6328125" style="902" customWidth="1"/>
    <col min="514" max="514" width="10.54296875" style="902" customWidth="1"/>
    <col min="515" max="515" width="49.08984375" style="902" customWidth="1"/>
    <col min="516" max="516" width="68.54296875" style="902" customWidth="1"/>
    <col min="517" max="517" width="35.453125" style="902" customWidth="1"/>
    <col min="518" max="518" width="21" style="902" customWidth="1"/>
    <col min="519" max="519" width="28.453125" style="902" customWidth="1"/>
    <col min="520" max="520" width="30.6328125" style="902" customWidth="1"/>
    <col min="521" max="521" width="29.54296875" style="902" customWidth="1"/>
    <col min="522" max="522" width="33.54296875" style="902" customWidth="1"/>
    <col min="523" max="523" width="26.54296875" style="902" customWidth="1"/>
    <col min="524" max="524" width="31.54296875" style="902" customWidth="1"/>
    <col min="525" max="525" width="34.36328125" style="902" customWidth="1"/>
    <col min="526" max="526" width="45.08984375" style="902" customWidth="1"/>
    <col min="527" max="768" width="9.08984375" style="902"/>
    <col min="769" max="769" width="4.6328125" style="902" customWidth="1"/>
    <col min="770" max="770" width="10.54296875" style="902" customWidth="1"/>
    <col min="771" max="771" width="49.08984375" style="902" customWidth="1"/>
    <col min="772" max="772" width="68.54296875" style="902" customWidth="1"/>
    <col min="773" max="773" width="35.453125" style="902" customWidth="1"/>
    <col min="774" max="774" width="21" style="902" customWidth="1"/>
    <col min="775" max="775" width="28.453125" style="902" customWidth="1"/>
    <col min="776" max="776" width="30.6328125" style="902" customWidth="1"/>
    <col min="777" max="777" width="29.54296875" style="902" customWidth="1"/>
    <col min="778" max="778" width="33.54296875" style="902" customWidth="1"/>
    <col min="779" max="779" width="26.54296875" style="902" customWidth="1"/>
    <col min="780" max="780" width="31.54296875" style="902" customWidth="1"/>
    <col min="781" max="781" width="34.36328125" style="902" customWidth="1"/>
    <col min="782" max="782" width="45.08984375" style="902" customWidth="1"/>
    <col min="783" max="1024" width="9.08984375" style="902"/>
    <col min="1025" max="1025" width="4.6328125" style="902" customWidth="1"/>
    <col min="1026" max="1026" width="10.54296875" style="902" customWidth="1"/>
    <col min="1027" max="1027" width="49.08984375" style="902" customWidth="1"/>
    <col min="1028" max="1028" width="68.54296875" style="902" customWidth="1"/>
    <col min="1029" max="1029" width="35.453125" style="902" customWidth="1"/>
    <col min="1030" max="1030" width="21" style="902" customWidth="1"/>
    <col min="1031" max="1031" width="28.453125" style="902" customWidth="1"/>
    <col min="1032" max="1032" width="30.6328125" style="902" customWidth="1"/>
    <col min="1033" max="1033" width="29.54296875" style="902" customWidth="1"/>
    <col min="1034" max="1034" width="33.54296875" style="902" customWidth="1"/>
    <col min="1035" max="1035" width="26.54296875" style="902" customWidth="1"/>
    <col min="1036" max="1036" width="31.54296875" style="902" customWidth="1"/>
    <col min="1037" max="1037" width="34.36328125" style="902" customWidth="1"/>
    <col min="1038" max="1038" width="45.08984375" style="902" customWidth="1"/>
    <col min="1039" max="1280" width="9.08984375" style="902"/>
    <col min="1281" max="1281" width="4.6328125" style="902" customWidth="1"/>
    <col min="1282" max="1282" width="10.54296875" style="902" customWidth="1"/>
    <col min="1283" max="1283" width="49.08984375" style="902" customWidth="1"/>
    <col min="1284" max="1284" width="68.54296875" style="902" customWidth="1"/>
    <col min="1285" max="1285" width="35.453125" style="902" customWidth="1"/>
    <col min="1286" max="1286" width="21" style="902" customWidth="1"/>
    <col min="1287" max="1287" width="28.453125" style="902" customWidth="1"/>
    <col min="1288" max="1288" width="30.6328125" style="902" customWidth="1"/>
    <col min="1289" max="1289" width="29.54296875" style="902" customWidth="1"/>
    <col min="1290" max="1290" width="33.54296875" style="902" customWidth="1"/>
    <col min="1291" max="1291" width="26.54296875" style="902" customWidth="1"/>
    <col min="1292" max="1292" width="31.54296875" style="902" customWidth="1"/>
    <col min="1293" max="1293" width="34.36328125" style="902" customWidth="1"/>
    <col min="1294" max="1294" width="45.08984375" style="902" customWidth="1"/>
    <col min="1295" max="1536" width="9.08984375" style="902"/>
    <col min="1537" max="1537" width="4.6328125" style="902" customWidth="1"/>
    <col min="1538" max="1538" width="10.54296875" style="902" customWidth="1"/>
    <col min="1539" max="1539" width="49.08984375" style="902" customWidth="1"/>
    <col min="1540" max="1540" width="68.54296875" style="902" customWidth="1"/>
    <col min="1541" max="1541" width="35.453125" style="902" customWidth="1"/>
    <col min="1542" max="1542" width="21" style="902" customWidth="1"/>
    <col min="1543" max="1543" width="28.453125" style="902" customWidth="1"/>
    <col min="1544" max="1544" width="30.6328125" style="902" customWidth="1"/>
    <col min="1545" max="1545" width="29.54296875" style="902" customWidth="1"/>
    <col min="1546" max="1546" width="33.54296875" style="902" customWidth="1"/>
    <col min="1547" max="1547" width="26.54296875" style="902" customWidth="1"/>
    <col min="1548" max="1548" width="31.54296875" style="902" customWidth="1"/>
    <col min="1549" max="1549" width="34.36328125" style="902" customWidth="1"/>
    <col min="1550" max="1550" width="45.08984375" style="902" customWidth="1"/>
    <col min="1551" max="1792" width="9.08984375" style="902"/>
    <col min="1793" max="1793" width="4.6328125" style="902" customWidth="1"/>
    <col min="1794" max="1794" width="10.54296875" style="902" customWidth="1"/>
    <col min="1795" max="1795" width="49.08984375" style="902" customWidth="1"/>
    <col min="1796" max="1796" width="68.54296875" style="902" customWidth="1"/>
    <col min="1797" max="1797" width="35.453125" style="902" customWidth="1"/>
    <col min="1798" max="1798" width="21" style="902" customWidth="1"/>
    <col min="1799" max="1799" width="28.453125" style="902" customWidth="1"/>
    <col min="1800" max="1800" width="30.6328125" style="902" customWidth="1"/>
    <col min="1801" max="1801" width="29.54296875" style="902" customWidth="1"/>
    <col min="1802" max="1802" width="33.54296875" style="902" customWidth="1"/>
    <col min="1803" max="1803" width="26.54296875" style="902" customWidth="1"/>
    <col min="1804" max="1804" width="31.54296875" style="902" customWidth="1"/>
    <col min="1805" max="1805" width="34.36328125" style="902" customWidth="1"/>
    <col min="1806" max="1806" width="45.08984375" style="902" customWidth="1"/>
    <col min="1807" max="2048" width="9.08984375" style="902"/>
    <col min="2049" max="2049" width="4.6328125" style="902" customWidth="1"/>
    <col min="2050" max="2050" width="10.54296875" style="902" customWidth="1"/>
    <col min="2051" max="2051" width="49.08984375" style="902" customWidth="1"/>
    <col min="2052" max="2052" width="68.54296875" style="902" customWidth="1"/>
    <col min="2053" max="2053" width="35.453125" style="902" customWidth="1"/>
    <col min="2054" max="2054" width="21" style="902" customWidth="1"/>
    <col min="2055" max="2055" width="28.453125" style="902" customWidth="1"/>
    <col min="2056" max="2056" width="30.6328125" style="902" customWidth="1"/>
    <col min="2057" max="2057" width="29.54296875" style="902" customWidth="1"/>
    <col min="2058" max="2058" width="33.54296875" style="902" customWidth="1"/>
    <col min="2059" max="2059" width="26.54296875" style="902" customWidth="1"/>
    <col min="2060" max="2060" width="31.54296875" style="902" customWidth="1"/>
    <col min="2061" max="2061" width="34.36328125" style="902" customWidth="1"/>
    <col min="2062" max="2062" width="45.08984375" style="902" customWidth="1"/>
    <col min="2063" max="2304" width="9.08984375" style="902"/>
    <col min="2305" max="2305" width="4.6328125" style="902" customWidth="1"/>
    <col min="2306" max="2306" width="10.54296875" style="902" customWidth="1"/>
    <col min="2307" max="2307" width="49.08984375" style="902" customWidth="1"/>
    <col min="2308" max="2308" width="68.54296875" style="902" customWidth="1"/>
    <col min="2309" max="2309" width="35.453125" style="902" customWidth="1"/>
    <col min="2310" max="2310" width="21" style="902" customWidth="1"/>
    <col min="2311" max="2311" width="28.453125" style="902" customWidth="1"/>
    <col min="2312" max="2312" width="30.6328125" style="902" customWidth="1"/>
    <col min="2313" max="2313" width="29.54296875" style="902" customWidth="1"/>
    <col min="2314" max="2314" width="33.54296875" style="902" customWidth="1"/>
    <col min="2315" max="2315" width="26.54296875" style="902" customWidth="1"/>
    <col min="2316" max="2316" width="31.54296875" style="902" customWidth="1"/>
    <col min="2317" max="2317" width="34.36328125" style="902" customWidth="1"/>
    <col min="2318" max="2318" width="45.08984375" style="902" customWidth="1"/>
    <col min="2319" max="2560" width="9.08984375" style="902"/>
    <col min="2561" max="2561" width="4.6328125" style="902" customWidth="1"/>
    <col min="2562" max="2562" width="10.54296875" style="902" customWidth="1"/>
    <col min="2563" max="2563" width="49.08984375" style="902" customWidth="1"/>
    <col min="2564" max="2564" width="68.54296875" style="902" customWidth="1"/>
    <col min="2565" max="2565" width="35.453125" style="902" customWidth="1"/>
    <col min="2566" max="2566" width="21" style="902" customWidth="1"/>
    <col min="2567" max="2567" width="28.453125" style="902" customWidth="1"/>
    <col min="2568" max="2568" width="30.6328125" style="902" customWidth="1"/>
    <col min="2569" max="2569" width="29.54296875" style="902" customWidth="1"/>
    <col min="2570" max="2570" width="33.54296875" style="902" customWidth="1"/>
    <col min="2571" max="2571" width="26.54296875" style="902" customWidth="1"/>
    <col min="2572" max="2572" width="31.54296875" style="902" customWidth="1"/>
    <col min="2573" max="2573" width="34.36328125" style="902" customWidth="1"/>
    <col min="2574" max="2574" width="45.08984375" style="902" customWidth="1"/>
    <col min="2575" max="2816" width="9.08984375" style="902"/>
    <col min="2817" max="2817" width="4.6328125" style="902" customWidth="1"/>
    <col min="2818" max="2818" width="10.54296875" style="902" customWidth="1"/>
    <col min="2819" max="2819" width="49.08984375" style="902" customWidth="1"/>
    <col min="2820" max="2820" width="68.54296875" style="902" customWidth="1"/>
    <col min="2821" max="2821" width="35.453125" style="902" customWidth="1"/>
    <col min="2822" max="2822" width="21" style="902" customWidth="1"/>
    <col min="2823" max="2823" width="28.453125" style="902" customWidth="1"/>
    <col min="2824" max="2824" width="30.6328125" style="902" customWidth="1"/>
    <col min="2825" max="2825" width="29.54296875" style="902" customWidth="1"/>
    <col min="2826" max="2826" width="33.54296875" style="902" customWidth="1"/>
    <col min="2827" max="2827" width="26.54296875" style="902" customWidth="1"/>
    <col min="2828" max="2828" width="31.54296875" style="902" customWidth="1"/>
    <col min="2829" max="2829" width="34.36328125" style="902" customWidth="1"/>
    <col min="2830" max="2830" width="45.08984375" style="902" customWidth="1"/>
    <col min="2831" max="3072" width="9.08984375" style="902"/>
    <col min="3073" max="3073" width="4.6328125" style="902" customWidth="1"/>
    <col min="3074" max="3074" width="10.54296875" style="902" customWidth="1"/>
    <col min="3075" max="3075" width="49.08984375" style="902" customWidth="1"/>
    <col min="3076" max="3076" width="68.54296875" style="902" customWidth="1"/>
    <col min="3077" max="3077" width="35.453125" style="902" customWidth="1"/>
    <col min="3078" max="3078" width="21" style="902" customWidth="1"/>
    <col min="3079" max="3079" width="28.453125" style="902" customWidth="1"/>
    <col min="3080" max="3080" width="30.6328125" style="902" customWidth="1"/>
    <col min="3081" max="3081" width="29.54296875" style="902" customWidth="1"/>
    <col min="3082" max="3082" width="33.54296875" style="902" customWidth="1"/>
    <col min="3083" max="3083" width="26.54296875" style="902" customWidth="1"/>
    <col min="3084" max="3084" width="31.54296875" style="902" customWidth="1"/>
    <col min="3085" max="3085" width="34.36328125" style="902" customWidth="1"/>
    <col min="3086" max="3086" width="45.08984375" style="902" customWidth="1"/>
    <col min="3087" max="3328" width="9.08984375" style="902"/>
    <col min="3329" max="3329" width="4.6328125" style="902" customWidth="1"/>
    <col min="3330" max="3330" width="10.54296875" style="902" customWidth="1"/>
    <col min="3331" max="3331" width="49.08984375" style="902" customWidth="1"/>
    <col min="3332" max="3332" width="68.54296875" style="902" customWidth="1"/>
    <col min="3333" max="3333" width="35.453125" style="902" customWidth="1"/>
    <col min="3334" max="3334" width="21" style="902" customWidth="1"/>
    <col min="3335" max="3335" width="28.453125" style="902" customWidth="1"/>
    <col min="3336" max="3336" width="30.6328125" style="902" customWidth="1"/>
    <col min="3337" max="3337" width="29.54296875" style="902" customWidth="1"/>
    <col min="3338" max="3338" width="33.54296875" style="902" customWidth="1"/>
    <col min="3339" max="3339" width="26.54296875" style="902" customWidth="1"/>
    <col min="3340" max="3340" width="31.54296875" style="902" customWidth="1"/>
    <col min="3341" max="3341" width="34.36328125" style="902" customWidth="1"/>
    <col min="3342" max="3342" width="45.08984375" style="902" customWidth="1"/>
    <col min="3343" max="3584" width="9.08984375" style="902"/>
    <col min="3585" max="3585" width="4.6328125" style="902" customWidth="1"/>
    <col min="3586" max="3586" width="10.54296875" style="902" customWidth="1"/>
    <col min="3587" max="3587" width="49.08984375" style="902" customWidth="1"/>
    <col min="3588" max="3588" width="68.54296875" style="902" customWidth="1"/>
    <col min="3589" max="3589" width="35.453125" style="902" customWidth="1"/>
    <col min="3590" max="3590" width="21" style="902" customWidth="1"/>
    <col min="3591" max="3591" width="28.453125" style="902" customWidth="1"/>
    <col min="3592" max="3592" width="30.6328125" style="902" customWidth="1"/>
    <col min="3593" max="3593" width="29.54296875" style="902" customWidth="1"/>
    <col min="3594" max="3594" width="33.54296875" style="902" customWidth="1"/>
    <col min="3595" max="3595" width="26.54296875" style="902" customWidth="1"/>
    <col min="3596" max="3596" width="31.54296875" style="902" customWidth="1"/>
    <col min="3597" max="3597" width="34.36328125" style="902" customWidth="1"/>
    <col min="3598" max="3598" width="45.08984375" style="902" customWidth="1"/>
    <col min="3599" max="3840" width="9.08984375" style="902"/>
    <col min="3841" max="3841" width="4.6328125" style="902" customWidth="1"/>
    <col min="3842" max="3842" width="10.54296875" style="902" customWidth="1"/>
    <col min="3843" max="3843" width="49.08984375" style="902" customWidth="1"/>
    <col min="3844" max="3844" width="68.54296875" style="902" customWidth="1"/>
    <col min="3845" max="3845" width="35.453125" style="902" customWidth="1"/>
    <col min="3846" max="3846" width="21" style="902" customWidth="1"/>
    <col min="3847" max="3847" width="28.453125" style="902" customWidth="1"/>
    <col min="3848" max="3848" width="30.6328125" style="902" customWidth="1"/>
    <col min="3849" max="3849" width="29.54296875" style="902" customWidth="1"/>
    <col min="3850" max="3850" width="33.54296875" style="902" customWidth="1"/>
    <col min="3851" max="3851" width="26.54296875" style="902" customWidth="1"/>
    <col min="3852" max="3852" width="31.54296875" style="902" customWidth="1"/>
    <col min="3853" max="3853" width="34.36328125" style="902" customWidth="1"/>
    <col min="3854" max="3854" width="45.08984375" style="902" customWidth="1"/>
    <col min="3855" max="4096" width="9.08984375" style="902"/>
    <col min="4097" max="4097" width="4.6328125" style="902" customWidth="1"/>
    <col min="4098" max="4098" width="10.54296875" style="902" customWidth="1"/>
    <col min="4099" max="4099" width="49.08984375" style="902" customWidth="1"/>
    <col min="4100" max="4100" width="68.54296875" style="902" customWidth="1"/>
    <col min="4101" max="4101" width="35.453125" style="902" customWidth="1"/>
    <col min="4102" max="4102" width="21" style="902" customWidth="1"/>
    <col min="4103" max="4103" width="28.453125" style="902" customWidth="1"/>
    <col min="4104" max="4104" width="30.6328125" style="902" customWidth="1"/>
    <col min="4105" max="4105" width="29.54296875" style="902" customWidth="1"/>
    <col min="4106" max="4106" width="33.54296875" style="902" customWidth="1"/>
    <col min="4107" max="4107" width="26.54296875" style="902" customWidth="1"/>
    <col min="4108" max="4108" width="31.54296875" style="902" customWidth="1"/>
    <col min="4109" max="4109" width="34.36328125" style="902" customWidth="1"/>
    <col min="4110" max="4110" width="45.08984375" style="902" customWidth="1"/>
    <col min="4111" max="4352" width="9.08984375" style="902"/>
    <col min="4353" max="4353" width="4.6328125" style="902" customWidth="1"/>
    <col min="4354" max="4354" width="10.54296875" style="902" customWidth="1"/>
    <col min="4355" max="4355" width="49.08984375" style="902" customWidth="1"/>
    <col min="4356" max="4356" width="68.54296875" style="902" customWidth="1"/>
    <col min="4357" max="4357" width="35.453125" style="902" customWidth="1"/>
    <col min="4358" max="4358" width="21" style="902" customWidth="1"/>
    <col min="4359" max="4359" width="28.453125" style="902" customWidth="1"/>
    <col min="4360" max="4360" width="30.6328125" style="902" customWidth="1"/>
    <col min="4361" max="4361" width="29.54296875" style="902" customWidth="1"/>
    <col min="4362" max="4362" width="33.54296875" style="902" customWidth="1"/>
    <col min="4363" max="4363" width="26.54296875" style="902" customWidth="1"/>
    <col min="4364" max="4364" width="31.54296875" style="902" customWidth="1"/>
    <col min="4365" max="4365" width="34.36328125" style="902" customWidth="1"/>
    <col min="4366" max="4366" width="45.08984375" style="902" customWidth="1"/>
    <col min="4367" max="4608" width="9.08984375" style="902"/>
    <col min="4609" max="4609" width="4.6328125" style="902" customWidth="1"/>
    <col min="4610" max="4610" width="10.54296875" style="902" customWidth="1"/>
    <col min="4611" max="4611" width="49.08984375" style="902" customWidth="1"/>
    <col min="4612" max="4612" width="68.54296875" style="902" customWidth="1"/>
    <col min="4613" max="4613" width="35.453125" style="902" customWidth="1"/>
    <col min="4614" max="4614" width="21" style="902" customWidth="1"/>
    <col min="4615" max="4615" width="28.453125" style="902" customWidth="1"/>
    <col min="4616" max="4616" width="30.6328125" style="902" customWidth="1"/>
    <col min="4617" max="4617" width="29.54296875" style="902" customWidth="1"/>
    <col min="4618" max="4618" width="33.54296875" style="902" customWidth="1"/>
    <col min="4619" max="4619" width="26.54296875" style="902" customWidth="1"/>
    <col min="4620" max="4620" width="31.54296875" style="902" customWidth="1"/>
    <col min="4621" max="4621" width="34.36328125" style="902" customWidth="1"/>
    <col min="4622" max="4622" width="45.08984375" style="902" customWidth="1"/>
    <col min="4623" max="4864" width="9.08984375" style="902"/>
    <col min="4865" max="4865" width="4.6328125" style="902" customWidth="1"/>
    <col min="4866" max="4866" width="10.54296875" style="902" customWidth="1"/>
    <col min="4867" max="4867" width="49.08984375" style="902" customWidth="1"/>
    <col min="4868" max="4868" width="68.54296875" style="902" customWidth="1"/>
    <col min="4869" max="4869" width="35.453125" style="902" customWidth="1"/>
    <col min="4870" max="4870" width="21" style="902" customWidth="1"/>
    <col min="4871" max="4871" width="28.453125" style="902" customWidth="1"/>
    <col min="4872" max="4872" width="30.6328125" style="902" customWidth="1"/>
    <col min="4873" max="4873" width="29.54296875" style="902" customWidth="1"/>
    <col min="4874" max="4874" width="33.54296875" style="902" customWidth="1"/>
    <col min="4875" max="4875" width="26.54296875" style="902" customWidth="1"/>
    <col min="4876" max="4876" width="31.54296875" style="902" customWidth="1"/>
    <col min="4877" max="4877" width="34.36328125" style="902" customWidth="1"/>
    <col min="4878" max="4878" width="45.08984375" style="902" customWidth="1"/>
    <col min="4879" max="5120" width="9.08984375" style="902"/>
    <col min="5121" max="5121" width="4.6328125" style="902" customWidth="1"/>
    <col min="5122" max="5122" width="10.54296875" style="902" customWidth="1"/>
    <col min="5123" max="5123" width="49.08984375" style="902" customWidth="1"/>
    <col min="5124" max="5124" width="68.54296875" style="902" customWidth="1"/>
    <col min="5125" max="5125" width="35.453125" style="902" customWidth="1"/>
    <col min="5126" max="5126" width="21" style="902" customWidth="1"/>
    <col min="5127" max="5127" width="28.453125" style="902" customWidth="1"/>
    <col min="5128" max="5128" width="30.6328125" style="902" customWidth="1"/>
    <col min="5129" max="5129" width="29.54296875" style="902" customWidth="1"/>
    <col min="5130" max="5130" width="33.54296875" style="902" customWidth="1"/>
    <col min="5131" max="5131" width="26.54296875" style="902" customWidth="1"/>
    <col min="5132" max="5132" width="31.54296875" style="902" customWidth="1"/>
    <col min="5133" max="5133" width="34.36328125" style="902" customWidth="1"/>
    <col min="5134" max="5134" width="45.08984375" style="902" customWidth="1"/>
    <col min="5135" max="5376" width="9.08984375" style="902"/>
    <col min="5377" max="5377" width="4.6328125" style="902" customWidth="1"/>
    <col min="5378" max="5378" width="10.54296875" style="902" customWidth="1"/>
    <col min="5379" max="5379" width="49.08984375" style="902" customWidth="1"/>
    <col min="5380" max="5380" width="68.54296875" style="902" customWidth="1"/>
    <col min="5381" max="5381" width="35.453125" style="902" customWidth="1"/>
    <col min="5382" max="5382" width="21" style="902" customWidth="1"/>
    <col min="5383" max="5383" width="28.453125" style="902" customWidth="1"/>
    <col min="5384" max="5384" width="30.6328125" style="902" customWidth="1"/>
    <col min="5385" max="5385" width="29.54296875" style="902" customWidth="1"/>
    <col min="5386" max="5386" width="33.54296875" style="902" customWidth="1"/>
    <col min="5387" max="5387" width="26.54296875" style="902" customWidth="1"/>
    <col min="5388" max="5388" width="31.54296875" style="902" customWidth="1"/>
    <col min="5389" max="5389" width="34.36328125" style="902" customWidth="1"/>
    <col min="5390" max="5390" width="45.08984375" style="902" customWidth="1"/>
    <col min="5391" max="5632" width="9.08984375" style="902"/>
    <col min="5633" max="5633" width="4.6328125" style="902" customWidth="1"/>
    <col min="5634" max="5634" width="10.54296875" style="902" customWidth="1"/>
    <col min="5635" max="5635" width="49.08984375" style="902" customWidth="1"/>
    <col min="5636" max="5636" width="68.54296875" style="902" customWidth="1"/>
    <col min="5637" max="5637" width="35.453125" style="902" customWidth="1"/>
    <col min="5638" max="5638" width="21" style="902" customWidth="1"/>
    <col min="5639" max="5639" width="28.453125" style="902" customWidth="1"/>
    <col min="5640" max="5640" width="30.6328125" style="902" customWidth="1"/>
    <col min="5641" max="5641" width="29.54296875" style="902" customWidth="1"/>
    <col min="5642" max="5642" width="33.54296875" style="902" customWidth="1"/>
    <col min="5643" max="5643" width="26.54296875" style="902" customWidth="1"/>
    <col min="5644" max="5644" width="31.54296875" style="902" customWidth="1"/>
    <col min="5645" max="5645" width="34.36328125" style="902" customWidth="1"/>
    <col min="5646" max="5646" width="45.08984375" style="902" customWidth="1"/>
    <col min="5647" max="5888" width="9.08984375" style="902"/>
    <col min="5889" max="5889" width="4.6328125" style="902" customWidth="1"/>
    <col min="5890" max="5890" width="10.54296875" style="902" customWidth="1"/>
    <col min="5891" max="5891" width="49.08984375" style="902" customWidth="1"/>
    <col min="5892" max="5892" width="68.54296875" style="902" customWidth="1"/>
    <col min="5893" max="5893" width="35.453125" style="902" customWidth="1"/>
    <col min="5894" max="5894" width="21" style="902" customWidth="1"/>
    <col min="5895" max="5895" width="28.453125" style="902" customWidth="1"/>
    <col min="5896" max="5896" width="30.6328125" style="902" customWidth="1"/>
    <col min="5897" max="5897" width="29.54296875" style="902" customWidth="1"/>
    <col min="5898" max="5898" width="33.54296875" style="902" customWidth="1"/>
    <col min="5899" max="5899" width="26.54296875" style="902" customWidth="1"/>
    <col min="5900" max="5900" width="31.54296875" style="902" customWidth="1"/>
    <col min="5901" max="5901" width="34.36328125" style="902" customWidth="1"/>
    <col min="5902" max="5902" width="45.08984375" style="902" customWidth="1"/>
    <col min="5903" max="6144" width="9.08984375" style="902"/>
    <col min="6145" max="6145" width="4.6328125" style="902" customWidth="1"/>
    <col min="6146" max="6146" width="10.54296875" style="902" customWidth="1"/>
    <col min="6147" max="6147" width="49.08984375" style="902" customWidth="1"/>
    <col min="6148" max="6148" width="68.54296875" style="902" customWidth="1"/>
    <col min="6149" max="6149" width="35.453125" style="902" customWidth="1"/>
    <col min="6150" max="6150" width="21" style="902" customWidth="1"/>
    <col min="6151" max="6151" width="28.453125" style="902" customWidth="1"/>
    <col min="6152" max="6152" width="30.6328125" style="902" customWidth="1"/>
    <col min="6153" max="6153" width="29.54296875" style="902" customWidth="1"/>
    <col min="6154" max="6154" width="33.54296875" style="902" customWidth="1"/>
    <col min="6155" max="6155" width="26.54296875" style="902" customWidth="1"/>
    <col min="6156" max="6156" width="31.54296875" style="902" customWidth="1"/>
    <col min="6157" max="6157" width="34.36328125" style="902" customWidth="1"/>
    <col min="6158" max="6158" width="45.08984375" style="902" customWidth="1"/>
    <col min="6159" max="6400" width="9.08984375" style="902"/>
    <col min="6401" max="6401" width="4.6328125" style="902" customWidth="1"/>
    <col min="6402" max="6402" width="10.54296875" style="902" customWidth="1"/>
    <col min="6403" max="6403" width="49.08984375" style="902" customWidth="1"/>
    <col min="6404" max="6404" width="68.54296875" style="902" customWidth="1"/>
    <col min="6405" max="6405" width="35.453125" style="902" customWidth="1"/>
    <col min="6406" max="6406" width="21" style="902" customWidth="1"/>
    <col min="6407" max="6407" width="28.453125" style="902" customWidth="1"/>
    <col min="6408" max="6408" width="30.6328125" style="902" customWidth="1"/>
    <col min="6409" max="6409" width="29.54296875" style="902" customWidth="1"/>
    <col min="6410" max="6410" width="33.54296875" style="902" customWidth="1"/>
    <col min="6411" max="6411" width="26.54296875" style="902" customWidth="1"/>
    <col min="6412" max="6412" width="31.54296875" style="902" customWidth="1"/>
    <col min="6413" max="6413" width="34.36328125" style="902" customWidth="1"/>
    <col min="6414" max="6414" width="45.08984375" style="902" customWidth="1"/>
    <col min="6415" max="6656" width="9.08984375" style="902"/>
    <col min="6657" max="6657" width="4.6328125" style="902" customWidth="1"/>
    <col min="6658" max="6658" width="10.54296875" style="902" customWidth="1"/>
    <col min="6659" max="6659" width="49.08984375" style="902" customWidth="1"/>
    <col min="6660" max="6660" width="68.54296875" style="902" customWidth="1"/>
    <col min="6661" max="6661" width="35.453125" style="902" customWidth="1"/>
    <col min="6662" max="6662" width="21" style="902" customWidth="1"/>
    <col min="6663" max="6663" width="28.453125" style="902" customWidth="1"/>
    <col min="6664" max="6664" width="30.6328125" style="902" customWidth="1"/>
    <col min="6665" max="6665" width="29.54296875" style="902" customWidth="1"/>
    <col min="6666" max="6666" width="33.54296875" style="902" customWidth="1"/>
    <col min="6667" max="6667" width="26.54296875" style="902" customWidth="1"/>
    <col min="6668" max="6668" width="31.54296875" style="902" customWidth="1"/>
    <col min="6669" max="6669" width="34.36328125" style="902" customWidth="1"/>
    <col min="6670" max="6670" width="45.08984375" style="902" customWidth="1"/>
    <col min="6671" max="6912" width="9.08984375" style="902"/>
    <col min="6913" max="6913" width="4.6328125" style="902" customWidth="1"/>
    <col min="6914" max="6914" width="10.54296875" style="902" customWidth="1"/>
    <col min="6915" max="6915" width="49.08984375" style="902" customWidth="1"/>
    <col min="6916" max="6916" width="68.54296875" style="902" customWidth="1"/>
    <col min="6917" max="6917" width="35.453125" style="902" customWidth="1"/>
    <col min="6918" max="6918" width="21" style="902" customWidth="1"/>
    <col min="6919" max="6919" width="28.453125" style="902" customWidth="1"/>
    <col min="6920" max="6920" width="30.6328125" style="902" customWidth="1"/>
    <col min="6921" max="6921" width="29.54296875" style="902" customWidth="1"/>
    <col min="6922" max="6922" width="33.54296875" style="902" customWidth="1"/>
    <col min="6923" max="6923" width="26.54296875" style="902" customWidth="1"/>
    <col min="6924" max="6924" width="31.54296875" style="902" customWidth="1"/>
    <col min="6925" max="6925" width="34.36328125" style="902" customWidth="1"/>
    <col min="6926" max="6926" width="45.08984375" style="902" customWidth="1"/>
    <col min="6927" max="7168" width="9.08984375" style="902"/>
    <col min="7169" max="7169" width="4.6328125" style="902" customWidth="1"/>
    <col min="7170" max="7170" width="10.54296875" style="902" customWidth="1"/>
    <col min="7171" max="7171" width="49.08984375" style="902" customWidth="1"/>
    <col min="7172" max="7172" width="68.54296875" style="902" customWidth="1"/>
    <col min="7173" max="7173" width="35.453125" style="902" customWidth="1"/>
    <col min="7174" max="7174" width="21" style="902" customWidth="1"/>
    <col min="7175" max="7175" width="28.453125" style="902" customWidth="1"/>
    <col min="7176" max="7176" width="30.6328125" style="902" customWidth="1"/>
    <col min="7177" max="7177" width="29.54296875" style="902" customWidth="1"/>
    <col min="7178" max="7178" width="33.54296875" style="902" customWidth="1"/>
    <col min="7179" max="7179" width="26.54296875" style="902" customWidth="1"/>
    <col min="7180" max="7180" width="31.54296875" style="902" customWidth="1"/>
    <col min="7181" max="7181" width="34.36328125" style="902" customWidth="1"/>
    <col min="7182" max="7182" width="45.08984375" style="902" customWidth="1"/>
    <col min="7183" max="7424" width="9.08984375" style="902"/>
    <col min="7425" max="7425" width="4.6328125" style="902" customWidth="1"/>
    <col min="7426" max="7426" width="10.54296875" style="902" customWidth="1"/>
    <col min="7427" max="7427" width="49.08984375" style="902" customWidth="1"/>
    <col min="7428" max="7428" width="68.54296875" style="902" customWidth="1"/>
    <col min="7429" max="7429" width="35.453125" style="902" customWidth="1"/>
    <col min="7430" max="7430" width="21" style="902" customWidth="1"/>
    <col min="7431" max="7431" width="28.453125" style="902" customWidth="1"/>
    <col min="7432" max="7432" width="30.6328125" style="902" customWidth="1"/>
    <col min="7433" max="7433" width="29.54296875" style="902" customWidth="1"/>
    <col min="7434" max="7434" width="33.54296875" style="902" customWidth="1"/>
    <col min="7435" max="7435" width="26.54296875" style="902" customWidth="1"/>
    <col min="7436" max="7436" width="31.54296875" style="902" customWidth="1"/>
    <col min="7437" max="7437" width="34.36328125" style="902" customWidth="1"/>
    <col min="7438" max="7438" width="45.08984375" style="902" customWidth="1"/>
    <col min="7439" max="7680" width="9.08984375" style="902"/>
    <col min="7681" max="7681" width="4.6328125" style="902" customWidth="1"/>
    <col min="7682" max="7682" width="10.54296875" style="902" customWidth="1"/>
    <col min="7683" max="7683" width="49.08984375" style="902" customWidth="1"/>
    <col min="7684" max="7684" width="68.54296875" style="902" customWidth="1"/>
    <col min="7685" max="7685" width="35.453125" style="902" customWidth="1"/>
    <col min="7686" max="7686" width="21" style="902" customWidth="1"/>
    <col min="7687" max="7687" width="28.453125" style="902" customWidth="1"/>
    <col min="7688" max="7688" width="30.6328125" style="902" customWidth="1"/>
    <col min="7689" max="7689" width="29.54296875" style="902" customWidth="1"/>
    <col min="7690" max="7690" width="33.54296875" style="902" customWidth="1"/>
    <col min="7691" max="7691" width="26.54296875" style="902" customWidth="1"/>
    <col min="7692" max="7692" width="31.54296875" style="902" customWidth="1"/>
    <col min="7693" max="7693" width="34.36328125" style="902" customWidth="1"/>
    <col min="7694" max="7694" width="45.08984375" style="902" customWidth="1"/>
    <col min="7695" max="7936" width="9.08984375" style="902"/>
    <col min="7937" max="7937" width="4.6328125" style="902" customWidth="1"/>
    <col min="7938" max="7938" width="10.54296875" style="902" customWidth="1"/>
    <col min="7939" max="7939" width="49.08984375" style="902" customWidth="1"/>
    <col min="7940" max="7940" width="68.54296875" style="902" customWidth="1"/>
    <col min="7941" max="7941" width="35.453125" style="902" customWidth="1"/>
    <col min="7942" max="7942" width="21" style="902" customWidth="1"/>
    <col min="7943" max="7943" width="28.453125" style="902" customWidth="1"/>
    <col min="7944" max="7944" width="30.6328125" style="902" customWidth="1"/>
    <col min="7945" max="7945" width="29.54296875" style="902" customWidth="1"/>
    <col min="7946" max="7946" width="33.54296875" style="902" customWidth="1"/>
    <col min="7947" max="7947" width="26.54296875" style="902" customWidth="1"/>
    <col min="7948" max="7948" width="31.54296875" style="902" customWidth="1"/>
    <col min="7949" max="7949" width="34.36328125" style="902" customWidth="1"/>
    <col min="7950" max="7950" width="45.08984375" style="902" customWidth="1"/>
    <col min="7951" max="8192" width="9.08984375" style="902"/>
    <col min="8193" max="8193" width="4.6328125" style="902" customWidth="1"/>
    <col min="8194" max="8194" width="10.54296875" style="902" customWidth="1"/>
    <col min="8195" max="8195" width="49.08984375" style="902" customWidth="1"/>
    <col min="8196" max="8196" width="68.54296875" style="902" customWidth="1"/>
    <col min="8197" max="8197" width="35.453125" style="902" customWidth="1"/>
    <col min="8198" max="8198" width="21" style="902" customWidth="1"/>
    <col min="8199" max="8199" width="28.453125" style="902" customWidth="1"/>
    <col min="8200" max="8200" width="30.6328125" style="902" customWidth="1"/>
    <col min="8201" max="8201" width="29.54296875" style="902" customWidth="1"/>
    <col min="8202" max="8202" width="33.54296875" style="902" customWidth="1"/>
    <col min="8203" max="8203" width="26.54296875" style="902" customWidth="1"/>
    <col min="8204" max="8204" width="31.54296875" style="902" customWidth="1"/>
    <col min="8205" max="8205" width="34.36328125" style="902" customWidth="1"/>
    <col min="8206" max="8206" width="45.08984375" style="902" customWidth="1"/>
    <col min="8207" max="8448" width="9.08984375" style="902"/>
    <col min="8449" max="8449" width="4.6328125" style="902" customWidth="1"/>
    <col min="8450" max="8450" width="10.54296875" style="902" customWidth="1"/>
    <col min="8451" max="8451" width="49.08984375" style="902" customWidth="1"/>
    <col min="8452" max="8452" width="68.54296875" style="902" customWidth="1"/>
    <col min="8453" max="8453" width="35.453125" style="902" customWidth="1"/>
    <col min="8454" max="8454" width="21" style="902" customWidth="1"/>
    <col min="8455" max="8455" width="28.453125" style="902" customWidth="1"/>
    <col min="8456" max="8456" width="30.6328125" style="902" customWidth="1"/>
    <col min="8457" max="8457" width="29.54296875" style="902" customWidth="1"/>
    <col min="8458" max="8458" width="33.54296875" style="902" customWidth="1"/>
    <col min="8459" max="8459" width="26.54296875" style="902" customWidth="1"/>
    <col min="8460" max="8460" width="31.54296875" style="902" customWidth="1"/>
    <col min="8461" max="8461" width="34.36328125" style="902" customWidth="1"/>
    <col min="8462" max="8462" width="45.08984375" style="902" customWidth="1"/>
    <col min="8463" max="8704" width="9.08984375" style="902"/>
    <col min="8705" max="8705" width="4.6328125" style="902" customWidth="1"/>
    <col min="8706" max="8706" width="10.54296875" style="902" customWidth="1"/>
    <col min="8707" max="8707" width="49.08984375" style="902" customWidth="1"/>
    <col min="8708" max="8708" width="68.54296875" style="902" customWidth="1"/>
    <col min="8709" max="8709" width="35.453125" style="902" customWidth="1"/>
    <col min="8710" max="8710" width="21" style="902" customWidth="1"/>
    <col min="8711" max="8711" width="28.453125" style="902" customWidth="1"/>
    <col min="8712" max="8712" width="30.6328125" style="902" customWidth="1"/>
    <col min="8713" max="8713" width="29.54296875" style="902" customWidth="1"/>
    <col min="8714" max="8714" width="33.54296875" style="902" customWidth="1"/>
    <col min="8715" max="8715" width="26.54296875" style="902" customWidth="1"/>
    <col min="8716" max="8716" width="31.54296875" style="902" customWidth="1"/>
    <col min="8717" max="8717" width="34.36328125" style="902" customWidth="1"/>
    <col min="8718" max="8718" width="45.08984375" style="902" customWidth="1"/>
    <col min="8719" max="8960" width="9.08984375" style="902"/>
    <col min="8961" max="8961" width="4.6328125" style="902" customWidth="1"/>
    <col min="8962" max="8962" width="10.54296875" style="902" customWidth="1"/>
    <col min="8963" max="8963" width="49.08984375" style="902" customWidth="1"/>
    <col min="8964" max="8964" width="68.54296875" style="902" customWidth="1"/>
    <col min="8965" max="8965" width="35.453125" style="902" customWidth="1"/>
    <col min="8966" max="8966" width="21" style="902" customWidth="1"/>
    <col min="8967" max="8967" width="28.453125" style="902" customWidth="1"/>
    <col min="8968" max="8968" width="30.6328125" style="902" customWidth="1"/>
    <col min="8969" max="8969" width="29.54296875" style="902" customWidth="1"/>
    <col min="8970" max="8970" width="33.54296875" style="902" customWidth="1"/>
    <col min="8971" max="8971" width="26.54296875" style="902" customWidth="1"/>
    <col min="8972" max="8972" width="31.54296875" style="902" customWidth="1"/>
    <col min="8973" max="8973" width="34.36328125" style="902" customWidth="1"/>
    <col min="8974" max="8974" width="45.08984375" style="902" customWidth="1"/>
    <col min="8975" max="9216" width="9.08984375" style="902"/>
    <col min="9217" max="9217" width="4.6328125" style="902" customWidth="1"/>
    <col min="9218" max="9218" width="10.54296875" style="902" customWidth="1"/>
    <col min="9219" max="9219" width="49.08984375" style="902" customWidth="1"/>
    <col min="9220" max="9220" width="68.54296875" style="902" customWidth="1"/>
    <col min="9221" max="9221" width="35.453125" style="902" customWidth="1"/>
    <col min="9222" max="9222" width="21" style="902" customWidth="1"/>
    <col min="9223" max="9223" width="28.453125" style="902" customWidth="1"/>
    <col min="9224" max="9224" width="30.6328125" style="902" customWidth="1"/>
    <col min="9225" max="9225" width="29.54296875" style="902" customWidth="1"/>
    <col min="9226" max="9226" width="33.54296875" style="902" customWidth="1"/>
    <col min="9227" max="9227" width="26.54296875" style="902" customWidth="1"/>
    <col min="9228" max="9228" width="31.54296875" style="902" customWidth="1"/>
    <col min="9229" max="9229" width="34.36328125" style="902" customWidth="1"/>
    <col min="9230" max="9230" width="45.08984375" style="902" customWidth="1"/>
    <col min="9231" max="9472" width="9.08984375" style="902"/>
    <col min="9473" max="9473" width="4.6328125" style="902" customWidth="1"/>
    <col min="9474" max="9474" width="10.54296875" style="902" customWidth="1"/>
    <col min="9475" max="9475" width="49.08984375" style="902" customWidth="1"/>
    <col min="9476" max="9476" width="68.54296875" style="902" customWidth="1"/>
    <col min="9477" max="9477" width="35.453125" style="902" customWidth="1"/>
    <col min="9478" max="9478" width="21" style="902" customWidth="1"/>
    <col min="9479" max="9479" width="28.453125" style="902" customWidth="1"/>
    <col min="9480" max="9480" width="30.6328125" style="902" customWidth="1"/>
    <col min="9481" max="9481" width="29.54296875" style="902" customWidth="1"/>
    <col min="9482" max="9482" width="33.54296875" style="902" customWidth="1"/>
    <col min="9483" max="9483" width="26.54296875" style="902" customWidth="1"/>
    <col min="9484" max="9484" width="31.54296875" style="902" customWidth="1"/>
    <col min="9485" max="9485" width="34.36328125" style="902" customWidth="1"/>
    <col min="9486" max="9486" width="45.08984375" style="902" customWidth="1"/>
    <col min="9487" max="9728" width="9.08984375" style="902"/>
    <col min="9729" max="9729" width="4.6328125" style="902" customWidth="1"/>
    <col min="9730" max="9730" width="10.54296875" style="902" customWidth="1"/>
    <col min="9731" max="9731" width="49.08984375" style="902" customWidth="1"/>
    <col min="9732" max="9732" width="68.54296875" style="902" customWidth="1"/>
    <col min="9733" max="9733" width="35.453125" style="902" customWidth="1"/>
    <col min="9734" max="9734" width="21" style="902" customWidth="1"/>
    <col min="9735" max="9735" width="28.453125" style="902" customWidth="1"/>
    <col min="9736" max="9736" width="30.6328125" style="902" customWidth="1"/>
    <col min="9737" max="9737" width="29.54296875" style="902" customWidth="1"/>
    <col min="9738" max="9738" width="33.54296875" style="902" customWidth="1"/>
    <col min="9739" max="9739" width="26.54296875" style="902" customWidth="1"/>
    <col min="9740" max="9740" width="31.54296875" style="902" customWidth="1"/>
    <col min="9741" max="9741" width="34.36328125" style="902" customWidth="1"/>
    <col min="9742" max="9742" width="45.08984375" style="902" customWidth="1"/>
    <col min="9743" max="9984" width="9.08984375" style="902"/>
    <col min="9985" max="9985" width="4.6328125" style="902" customWidth="1"/>
    <col min="9986" max="9986" width="10.54296875" style="902" customWidth="1"/>
    <col min="9987" max="9987" width="49.08984375" style="902" customWidth="1"/>
    <col min="9988" max="9988" width="68.54296875" style="902" customWidth="1"/>
    <col min="9989" max="9989" width="35.453125" style="902" customWidth="1"/>
    <col min="9990" max="9990" width="21" style="902" customWidth="1"/>
    <col min="9991" max="9991" width="28.453125" style="902" customWidth="1"/>
    <col min="9992" max="9992" width="30.6328125" style="902" customWidth="1"/>
    <col min="9993" max="9993" width="29.54296875" style="902" customWidth="1"/>
    <col min="9994" max="9994" width="33.54296875" style="902" customWidth="1"/>
    <col min="9995" max="9995" width="26.54296875" style="902" customWidth="1"/>
    <col min="9996" max="9996" width="31.54296875" style="902" customWidth="1"/>
    <col min="9997" max="9997" width="34.36328125" style="902" customWidth="1"/>
    <col min="9998" max="9998" width="45.08984375" style="902" customWidth="1"/>
    <col min="9999" max="10240" width="9.08984375" style="902"/>
    <col min="10241" max="10241" width="4.6328125" style="902" customWidth="1"/>
    <col min="10242" max="10242" width="10.54296875" style="902" customWidth="1"/>
    <col min="10243" max="10243" width="49.08984375" style="902" customWidth="1"/>
    <col min="10244" max="10244" width="68.54296875" style="902" customWidth="1"/>
    <col min="10245" max="10245" width="35.453125" style="902" customWidth="1"/>
    <col min="10246" max="10246" width="21" style="902" customWidth="1"/>
    <col min="10247" max="10247" width="28.453125" style="902" customWidth="1"/>
    <col min="10248" max="10248" width="30.6328125" style="902" customWidth="1"/>
    <col min="10249" max="10249" width="29.54296875" style="902" customWidth="1"/>
    <col min="10250" max="10250" width="33.54296875" style="902" customWidth="1"/>
    <col min="10251" max="10251" width="26.54296875" style="902" customWidth="1"/>
    <col min="10252" max="10252" width="31.54296875" style="902" customWidth="1"/>
    <col min="10253" max="10253" width="34.36328125" style="902" customWidth="1"/>
    <col min="10254" max="10254" width="45.08984375" style="902" customWidth="1"/>
    <col min="10255" max="10496" width="9.08984375" style="902"/>
    <col min="10497" max="10497" width="4.6328125" style="902" customWidth="1"/>
    <col min="10498" max="10498" width="10.54296875" style="902" customWidth="1"/>
    <col min="10499" max="10499" width="49.08984375" style="902" customWidth="1"/>
    <col min="10500" max="10500" width="68.54296875" style="902" customWidth="1"/>
    <col min="10501" max="10501" width="35.453125" style="902" customWidth="1"/>
    <col min="10502" max="10502" width="21" style="902" customWidth="1"/>
    <col min="10503" max="10503" width="28.453125" style="902" customWidth="1"/>
    <col min="10504" max="10504" width="30.6328125" style="902" customWidth="1"/>
    <col min="10505" max="10505" width="29.54296875" style="902" customWidth="1"/>
    <col min="10506" max="10506" width="33.54296875" style="902" customWidth="1"/>
    <col min="10507" max="10507" width="26.54296875" style="902" customWidth="1"/>
    <col min="10508" max="10508" width="31.54296875" style="902" customWidth="1"/>
    <col min="10509" max="10509" width="34.36328125" style="902" customWidth="1"/>
    <col min="10510" max="10510" width="45.08984375" style="902" customWidth="1"/>
    <col min="10511" max="10752" width="9.08984375" style="902"/>
    <col min="10753" max="10753" width="4.6328125" style="902" customWidth="1"/>
    <col min="10754" max="10754" width="10.54296875" style="902" customWidth="1"/>
    <col min="10755" max="10755" width="49.08984375" style="902" customWidth="1"/>
    <col min="10756" max="10756" width="68.54296875" style="902" customWidth="1"/>
    <col min="10757" max="10757" width="35.453125" style="902" customWidth="1"/>
    <col min="10758" max="10758" width="21" style="902" customWidth="1"/>
    <col min="10759" max="10759" width="28.453125" style="902" customWidth="1"/>
    <col min="10760" max="10760" width="30.6328125" style="902" customWidth="1"/>
    <col min="10761" max="10761" width="29.54296875" style="902" customWidth="1"/>
    <col min="10762" max="10762" width="33.54296875" style="902" customWidth="1"/>
    <col min="10763" max="10763" width="26.54296875" style="902" customWidth="1"/>
    <col min="10764" max="10764" width="31.54296875" style="902" customWidth="1"/>
    <col min="10765" max="10765" width="34.36328125" style="902" customWidth="1"/>
    <col min="10766" max="10766" width="45.08984375" style="902" customWidth="1"/>
    <col min="10767" max="11008" width="9.08984375" style="902"/>
    <col min="11009" max="11009" width="4.6328125" style="902" customWidth="1"/>
    <col min="11010" max="11010" width="10.54296875" style="902" customWidth="1"/>
    <col min="11011" max="11011" width="49.08984375" style="902" customWidth="1"/>
    <col min="11012" max="11012" width="68.54296875" style="902" customWidth="1"/>
    <col min="11013" max="11013" width="35.453125" style="902" customWidth="1"/>
    <col min="11014" max="11014" width="21" style="902" customWidth="1"/>
    <col min="11015" max="11015" width="28.453125" style="902" customWidth="1"/>
    <col min="11016" max="11016" width="30.6328125" style="902" customWidth="1"/>
    <col min="11017" max="11017" width="29.54296875" style="902" customWidth="1"/>
    <col min="11018" max="11018" width="33.54296875" style="902" customWidth="1"/>
    <col min="11019" max="11019" width="26.54296875" style="902" customWidth="1"/>
    <col min="11020" max="11020" width="31.54296875" style="902" customWidth="1"/>
    <col min="11021" max="11021" width="34.36328125" style="902" customWidth="1"/>
    <col min="11022" max="11022" width="45.08984375" style="902" customWidth="1"/>
    <col min="11023" max="11264" width="9.08984375" style="902"/>
    <col min="11265" max="11265" width="4.6328125" style="902" customWidth="1"/>
    <col min="11266" max="11266" width="10.54296875" style="902" customWidth="1"/>
    <col min="11267" max="11267" width="49.08984375" style="902" customWidth="1"/>
    <col min="11268" max="11268" width="68.54296875" style="902" customWidth="1"/>
    <col min="11269" max="11269" width="35.453125" style="902" customWidth="1"/>
    <col min="11270" max="11270" width="21" style="902" customWidth="1"/>
    <col min="11271" max="11271" width="28.453125" style="902" customWidth="1"/>
    <col min="11272" max="11272" width="30.6328125" style="902" customWidth="1"/>
    <col min="11273" max="11273" width="29.54296875" style="902" customWidth="1"/>
    <col min="11274" max="11274" width="33.54296875" style="902" customWidth="1"/>
    <col min="11275" max="11275" width="26.54296875" style="902" customWidth="1"/>
    <col min="11276" max="11276" width="31.54296875" style="902" customWidth="1"/>
    <col min="11277" max="11277" width="34.36328125" style="902" customWidth="1"/>
    <col min="11278" max="11278" width="45.08984375" style="902" customWidth="1"/>
    <col min="11279" max="11520" width="9.08984375" style="902"/>
    <col min="11521" max="11521" width="4.6328125" style="902" customWidth="1"/>
    <col min="11522" max="11522" width="10.54296875" style="902" customWidth="1"/>
    <col min="11523" max="11523" width="49.08984375" style="902" customWidth="1"/>
    <col min="11524" max="11524" width="68.54296875" style="902" customWidth="1"/>
    <col min="11525" max="11525" width="35.453125" style="902" customWidth="1"/>
    <col min="11526" max="11526" width="21" style="902" customWidth="1"/>
    <col min="11527" max="11527" width="28.453125" style="902" customWidth="1"/>
    <col min="11528" max="11528" width="30.6328125" style="902" customWidth="1"/>
    <col min="11529" max="11529" width="29.54296875" style="902" customWidth="1"/>
    <col min="11530" max="11530" width="33.54296875" style="902" customWidth="1"/>
    <col min="11531" max="11531" width="26.54296875" style="902" customWidth="1"/>
    <col min="11532" max="11532" width="31.54296875" style="902" customWidth="1"/>
    <col min="11533" max="11533" width="34.36328125" style="902" customWidth="1"/>
    <col min="11534" max="11534" width="45.08984375" style="902" customWidth="1"/>
    <col min="11535" max="11776" width="9.08984375" style="902"/>
    <col min="11777" max="11777" width="4.6328125" style="902" customWidth="1"/>
    <col min="11778" max="11778" width="10.54296875" style="902" customWidth="1"/>
    <col min="11779" max="11779" width="49.08984375" style="902" customWidth="1"/>
    <col min="11780" max="11780" width="68.54296875" style="902" customWidth="1"/>
    <col min="11781" max="11781" width="35.453125" style="902" customWidth="1"/>
    <col min="11782" max="11782" width="21" style="902" customWidth="1"/>
    <col min="11783" max="11783" width="28.453125" style="902" customWidth="1"/>
    <col min="11784" max="11784" width="30.6328125" style="902" customWidth="1"/>
    <col min="11785" max="11785" width="29.54296875" style="902" customWidth="1"/>
    <col min="11786" max="11786" width="33.54296875" style="902" customWidth="1"/>
    <col min="11787" max="11787" width="26.54296875" style="902" customWidth="1"/>
    <col min="11788" max="11788" width="31.54296875" style="902" customWidth="1"/>
    <col min="11789" max="11789" width="34.36328125" style="902" customWidth="1"/>
    <col min="11790" max="11790" width="45.08984375" style="902" customWidth="1"/>
    <col min="11791" max="12032" width="9.08984375" style="902"/>
    <col min="12033" max="12033" width="4.6328125" style="902" customWidth="1"/>
    <col min="12034" max="12034" width="10.54296875" style="902" customWidth="1"/>
    <col min="12035" max="12035" width="49.08984375" style="902" customWidth="1"/>
    <col min="12036" max="12036" width="68.54296875" style="902" customWidth="1"/>
    <col min="12037" max="12037" width="35.453125" style="902" customWidth="1"/>
    <col min="12038" max="12038" width="21" style="902" customWidth="1"/>
    <col min="12039" max="12039" width="28.453125" style="902" customWidth="1"/>
    <col min="12040" max="12040" width="30.6328125" style="902" customWidth="1"/>
    <col min="12041" max="12041" width="29.54296875" style="902" customWidth="1"/>
    <col min="12042" max="12042" width="33.54296875" style="902" customWidth="1"/>
    <col min="12043" max="12043" width="26.54296875" style="902" customWidth="1"/>
    <col min="12044" max="12044" width="31.54296875" style="902" customWidth="1"/>
    <col min="12045" max="12045" width="34.36328125" style="902" customWidth="1"/>
    <col min="12046" max="12046" width="45.08984375" style="902" customWidth="1"/>
    <col min="12047" max="12288" width="9.08984375" style="902"/>
    <col min="12289" max="12289" width="4.6328125" style="902" customWidth="1"/>
    <col min="12290" max="12290" width="10.54296875" style="902" customWidth="1"/>
    <col min="12291" max="12291" width="49.08984375" style="902" customWidth="1"/>
    <col min="12292" max="12292" width="68.54296875" style="902" customWidth="1"/>
    <col min="12293" max="12293" width="35.453125" style="902" customWidth="1"/>
    <col min="12294" max="12294" width="21" style="902" customWidth="1"/>
    <col min="12295" max="12295" width="28.453125" style="902" customWidth="1"/>
    <col min="12296" max="12296" width="30.6328125" style="902" customWidth="1"/>
    <col min="12297" max="12297" width="29.54296875" style="902" customWidth="1"/>
    <col min="12298" max="12298" width="33.54296875" style="902" customWidth="1"/>
    <col min="12299" max="12299" width="26.54296875" style="902" customWidth="1"/>
    <col min="12300" max="12300" width="31.54296875" style="902" customWidth="1"/>
    <col min="12301" max="12301" width="34.36328125" style="902" customWidth="1"/>
    <col min="12302" max="12302" width="45.08984375" style="902" customWidth="1"/>
    <col min="12303" max="12544" width="9.08984375" style="902"/>
    <col min="12545" max="12545" width="4.6328125" style="902" customWidth="1"/>
    <col min="12546" max="12546" width="10.54296875" style="902" customWidth="1"/>
    <col min="12547" max="12547" width="49.08984375" style="902" customWidth="1"/>
    <col min="12548" max="12548" width="68.54296875" style="902" customWidth="1"/>
    <col min="12549" max="12549" width="35.453125" style="902" customWidth="1"/>
    <col min="12550" max="12550" width="21" style="902" customWidth="1"/>
    <col min="12551" max="12551" width="28.453125" style="902" customWidth="1"/>
    <col min="12552" max="12552" width="30.6328125" style="902" customWidth="1"/>
    <col min="12553" max="12553" width="29.54296875" style="902" customWidth="1"/>
    <col min="12554" max="12554" width="33.54296875" style="902" customWidth="1"/>
    <col min="12555" max="12555" width="26.54296875" style="902" customWidth="1"/>
    <col min="12556" max="12556" width="31.54296875" style="902" customWidth="1"/>
    <col min="12557" max="12557" width="34.36328125" style="902" customWidth="1"/>
    <col min="12558" max="12558" width="45.08984375" style="902" customWidth="1"/>
    <col min="12559" max="12800" width="9.08984375" style="902"/>
    <col min="12801" max="12801" width="4.6328125" style="902" customWidth="1"/>
    <col min="12802" max="12802" width="10.54296875" style="902" customWidth="1"/>
    <col min="12803" max="12803" width="49.08984375" style="902" customWidth="1"/>
    <col min="12804" max="12804" width="68.54296875" style="902" customWidth="1"/>
    <col min="12805" max="12805" width="35.453125" style="902" customWidth="1"/>
    <col min="12806" max="12806" width="21" style="902" customWidth="1"/>
    <col min="12807" max="12807" width="28.453125" style="902" customWidth="1"/>
    <col min="12808" max="12808" width="30.6328125" style="902" customWidth="1"/>
    <col min="12809" max="12809" width="29.54296875" style="902" customWidth="1"/>
    <col min="12810" max="12810" width="33.54296875" style="902" customWidth="1"/>
    <col min="12811" max="12811" width="26.54296875" style="902" customWidth="1"/>
    <col min="12812" max="12812" width="31.54296875" style="902" customWidth="1"/>
    <col min="12813" max="12813" width="34.36328125" style="902" customWidth="1"/>
    <col min="12814" max="12814" width="45.08984375" style="902" customWidth="1"/>
    <col min="12815" max="13056" width="9.08984375" style="902"/>
    <col min="13057" max="13057" width="4.6328125" style="902" customWidth="1"/>
    <col min="13058" max="13058" width="10.54296875" style="902" customWidth="1"/>
    <col min="13059" max="13059" width="49.08984375" style="902" customWidth="1"/>
    <col min="13060" max="13060" width="68.54296875" style="902" customWidth="1"/>
    <col min="13061" max="13061" width="35.453125" style="902" customWidth="1"/>
    <col min="13062" max="13062" width="21" style="902" customWidth="1"/>
    <col min="13063" max="13063" width="28.453125" style="902" customWidth="1"/>
    <col min="13064" max="13064" width="30.6328125" style="902" customWidth="1"/>
    <col min="13065" max="13065" width="29.54296875" style="902" customWidth="1"/>
    <col min="13066" max="13066" width="33.54296875" style="902" customWidth="1"/>
    <col min="13067" max="13067" width="26.54296875" style="902" customWidth="1"/>
    <col min="13068" max="13068" width="31.54296875" style="902" customWidth="1"/>
    <col min="13069" max="13069" width="34.36328125" style="902" customWidth="1"/>
    <col min="13070" max="13070" width="45.08984375" style="902" customWidth="1"/>
    <col min="13071" max="13312" width="9.08984375" style="902"/>
    <col min="13313" max="13313" width="4.6328125" style="902" customWidth="1"/>
    <col min="13314" max="13314" width="10.54296875" style="902" customWidth="1"/>
    <col min="13315" max="13315" width="49.08984375" style="902" customWidth="1"/>
    <col min="13316" max="13316" width="68.54296875" style="902" customWidth="1"/>
    <col min="13317" max="13317" width="35.453125" style="902" customWidth="1"/>
    <col min="13318" max="13318" width="21" style="902" customWidth="1"/>
    <col min="13319" max="13319" width="28.453125" style="902" customWidth="1"/>
    <col min="13320" max="13320" width="30.6328125" style="902" customWidth="1"/>
    <col min="13321" max="13321" width="29.54296875" style="902" customWidth="1"/>
    <col min="13322" max="13322" width="33.54296875" style="902" customWidth="1"/>
    <col min="13323" max="13323" width="26.54296875" style="902" customWidth="1"/>
    <col min="13324" max="13324" width="31.54296875" style="902" customWidth="1"/>
    <col min="13325" max="13325" width="34.36328125" style="902" customWidth="1"/>
    <col min="13326" max="13326" width="45.08984375" style="902" customWidth="1"/>
    <col min="13327" max="13568" width="9.08984375" style="902"/>
    <col min="13569" max="13569" width="4.6328125" style="902" customWidth="1"/>
    <col min="13570" max="13570" width="10.54296875" style="902" customWidth="1"/>
    <col min="13571" max="13571" width="49.08984375" style="902" customWidth="1"/>
    <col min="13572" max="13572" width="68.54296875" style="902" customWidth="1"/>
    <col min="13573" max="13573" width="35.453125" style="902" customWidth="1"/>
    <col min="13574" max="13574" width="21" style="902" customWidth="1"/>
    <col min="13575" max="13575" width="28.453125" style="902" customWidth="1"/>
    <col min="13576" max="13576" width="30.6328125" style="902" customWidth="1"/>
    <col min="13577" max="13577" width="29.54296875" style="902" customWidth="1"/>
    <col min="13578" max="13578" width="33.54296875" style="902" customWidth="1"/>
    <col min="13579" max="13579" width="26.54296875" style="902" customWidth="1"/>
    <col min="13580" max="13580" width="31.54296875" style="902" customWidth="1"/>
    <col min="13581" max="13581" width="34.36328125" style="902" customWidth="1"/>
    <col min="13582" max="13582" width="45.08984375" style="902" customWidth="1"/>
    <col min="13583" max="13824" width="9.08984375" style="902"/>
    <col min="13825" max="13825" width="4.6328125" style="902" customWidth="1"/>
    <col min="13826" max="13826" width="10.54296875" style="902" customWidth="1"/>
    <col min="13827" max="13827" width="49.08984375" style="902" customWidth="1"/>
    <col min="13828" max="13828" width="68.54296875" style="902" customWidth="1"/>
    <col min="13829" max="13829" width="35.453125" style="902" customWidth="1"/>
    <col min="13830" max="13830" width="21" style="902" customWidth="1"/>
    <col min="13831" max="13831" width="28.453125" style="902" customWidth="1"/>
    <col min="13832" max="13832" width="30.6328125" style="902" customWidth="1"/>
    <col min="13833" max="13833" width="29.54296875" style="902" customWidth="1"/>
    <col min="13834" max="13834" width="33.54296875" style="902" customWidth="1"/>
    <col min="13835" max="13835" width="26.54296875" style="902" customWidth="1"/>
    <col min="13836" max="13836" width="31.54296875" style="902" customWidth="1"/>
    <col min="13837" max="13837" width="34.36328125" style="902" customWidth="1"/>
    <col min="13838" max="13838" width="45.08984375" style="902" customWidth="1"/>
    <col min="13839" max="14080" width="9.08984375" style="902"/>
    <col min="14081" max="14081" width="4.6328125" style="902" customWidth="1"/>
    <col min="14082" max="14082" width="10.54296875" style="902" customWidth="1"/>
    <col min="14083" max="14083" width="49.08984375" style="902" customWidth="1"/>
    <col min="14084" max="14084" width="68.54296875" style="902" customWidth="1"/>
    <col min="14085" max="14085" width="35.453125" style="902" customWidth="1"/>
    <col min="14086" max="14086" width="21" style="902" customWidth="1"/>
    <col min="14087" max="14087" width="28.453125" style="902" customWidth="1"/>
    <col min="14088" max="14088" width="30.6328125" style="902" customWidth="1"/>
    <col min="14089" max="14089" width="29.54296875" style="902" customWidth="1"/>
    <col min="14090" max="14090" width="33.54296875" style="902" customWidth="1"/>
    <col min="14091" max="14091" width="26.54296875" style="902" customWidth="1"/>
    <col min="14092" max="14092" width="31.54296875" style="902" customWidth="1"/>
    <col min="14093" max="14093" width="34.36328125" style="902" customWidth="1"/>
    <col min="14094" max="14094" width="45.08984375" style="902" customWidth="1"/>
    <col min="14095" max="14336" width="9.08984375" style="902"/>
    <col min="14337" max="14337" width="4.6328125" style="902" customWidth="1"/>
    <col min="14338" max="14338" width="10.54296875" style="902" customWidth="1"/>
    <col min="14339" max="14339" width="49.08984375" style="902" customWidth="1"/>
    <col min="14340" max="14340" width="68.54296875" style="902" customWidth="1"/>
    <col min="14341" max="14341" width="35.453125" style="902" customWidth="1"/>
    <col min="14342" max="14342" width="21" style="902" customWidth="1"/>
    <col min="14343" max="14343" width="28.453125" style="902" customWidth="1"/>
    <col min="14344" max="14344" width="30.6328125" style="902" customWidth="1"/>
    <col min="14345" max="14345" width="29.54296875" style="902" customWidth="1"/>
    <col min="14346" max="14346" width="33.54296875" style="902" customWidth="1"/>
    <col min="14347" max="14347" width="26.54296875" style="902" customWidth="1"/>
    <col min="14348" max="14348" width="31.54296875" style="902" customWidth="1"/>
    <col min="14349" max="14349" width="34.36328125" style="902" customWidth="1"/>
    <col min="14350" max="14350" width="45.08984375" style="902" customWidth="1"/>
    <col min="14351" max="14592" width="9.08984375" style="902"/>
    <col min="14593" max="14593" width="4.6328125" style="902" customWidth="1"/>
    <col min="14594" max="14594" width="10.54296875" style="902" customWidth="1"/>
    <col min="14595" max="14595" width="49.08984375" style="902" customWidth="1"/>
    <col min="14596" max="14596" width="68.54296875" style="902" customWidth="1"/>
    <col min="14597" max="14597" width="35.453125" style="902" customWidth="1"/>
    <col min="14598" max="14598" width="21" style="902" customWidth="1"/>
    <col min="14599" max="14599" width="28.453125" style="902" customWidth="1"/>
    <col min="14600" max="14600" width="30.6328125" style="902" customWidth="1"/>
    <col min="14601" max="14601" width="29.54296875" style="902" customWidth="1"/>
    <col min="14602" max="14602" width="33.54296875" style="902" customWidth="1"/>
    <col min="14603" max="14603" width="26.54296875" style="902" customWidth="1"/>
    <col min="14604" max="14604" width="31.54296875" style="902" customWidth="1"/>
    <col min="14605" max="14605" width="34.36328125" style="902" customWidth="1"/>
    <col min="14606" max="14606" width="45.08984375" style="902" customWidth="1"/>
    <col min="14607" max="14848" width="9.08984375" style="902"/>
    <col min="14849" max="14849" width="4.6328125" style="902" customWidth="1"/>
    <col min="14850" max="14850" width="10.54296875" style="902" customWidth="1"/>
    <col min="14851" max="14851" width="49.08984375" style="902" customWidth="1"/>
    <col min="14852" max="14852" width="68.54296875" style="902" customWidth="1"/>
    <col min="14853" max="14853" width="35.453125" style="902" customWidth="1"/>
    <col min="14854" max="14854" width="21" style="902" customWidth="1"/>
    <col min="14855" max="14855" width="28.453125" style="902" customWidth="1"/>
    <col min="14856" max="14856" width="30.6328125" style="902" customWidth="1"/>
    <col min="14857" max="14857" width="29.54296875" style="902" customWidth="1"/>
    <col min="14858" max="14858" width="33.54296875" style="902" customWidth="1"/>
    <col min="14859" max="14859" width="26.54296875" style="902" customWidth="1"/>
    <col min="14860" max="14860" width="31.54296875" style="902" customWidth="1"/>
    <col min="14861" max="14861" width="34.36328125" style="902" customWidth="1"/>
    <col min="14862" max="14862" width="45.08984375" style="902" customWidth="1"/>
    <col min="14863" max="15104" width="9.08984375" style="902"/>
    <col min="15105" max="15105" width="4.6328125" style="902" customWidth="1"/>
    <col min="15106" max="15106" width="10.54296875" style="902" customWidth="1"/>
    <col min="15107" max="15107" width="49.08984375" style="902" customWidth="1"/>
    <col min="15108" max="15108" width="68.54296875" style="902" customWidth="1"/>
    <col min="15109" max="15109" width="35.453125" style="902" customWidth="1"/>
    <col min="15110" max="15110" width="21" style="902" customWidth="1"/>
    <col min="15111" max="15111" width="28.453125" style="902" customWidth="1"/>
    <col min="15112" max="15112" width="30.6328125" style="902" customWidth="1"/>
    <col min="15113" max="15113" width="29.54296875" style="902" customWidth="1"/>
    <col min="15114" max="15114" width="33.54296875" style="902" customWidth="1"/>
    <col min="15115" max="15115" width="26.54296875" style="902" customWidth="1"/>
    <col min="15116" max="15116" width="31.54296875" style="902" customWidth="1"/>
    <col min="15117" max="15117" width="34.36328125" style="902" customWidth="1"/>
    <col min="15118" max="15118" width="45.08984375" style="902" customWidth="1"/>
    <col min="15119" max="15360" width="9.08984375" style="902"/>
    <col min="15361" max="15361" width="4.6328125" style="902" customWidth="1"/>
    <col min="15362" max="15362" width="10.54296875" style="902" customWidth="1"/>
    <col min="15363" max="15363" width="49.08984375" style="902" customWidth="1"/>
    <col min="15364" max="15364" width="68.54296875" style="902" customWidth="1"/>
    <col min="15365" max="15365" width="35.453125" style="902" customWidth="1"/>
    <col min="15366" max="15366" width="21" style="902" customWidth="1"/>
    <col min="15367" max="15367" width="28.453125" style="902" customWidth="1"/>
    <col min="15368" max="15368" width="30.6328125" style="902" customWidth="1"/>
    <col min="15369" max="15369" width="29.54296875" style="902" customWidth="1"/>
    <col min="15370" max="15370" width="33.54296875" style="902" customWidth="1"/>
    <col min="15371" max="15371" width="26.54296875" style="902" customWidth="1"/>
    <col min="15372" max="15372" width="31.54296875" style="902" customWidth="1"/>
    <col min="15373" max="15373" width="34.36328125" style="902" customWidth="1"/>
    <col min="15374" max="15374" width="45.08984375" style="902" customWidth="1"/>
    <col min="15375" max="15616" width="9.08984375" style="902"/>
    <col min="15617" max="15617" width="4.6328125" style="902" customWidth="1"/>
    <col min="15618" max="15618" width="10.54296875" style="902" customWidth="1"/>
    <col min="15619" max="15619" width="49.08984375" style="902" customWidth="1"/>
    <col min="15620" max="15620" width="68.54296875" style="902" customWidth="1"/>
    <col min="15621" max="15621" width="35.453125" style="902" customWidth="1"/>
    <col min="15622" max="15622" width="21" style="902" customWidth="1"/>
    <col min="15623" max="15623" width="28.453125" style="902" customWidth="1"/>
    <col min="15624" max="15624" width="30.6328125" style="902" customWidth="1"/>
    <col min="15625" max="15625" width="29.54296875" style="902" customWidth="1"/>
    <col min="15626" max="15626" width="33.54296875" style="902" customWidth="1"/>
    <col min="15627" max="15627" width="26.54296875" style="902" customWidth="1"/>
    <col min="15628" max="15628" width="31.54296875" style="902" customWidth="1"/>
    <col min="15629" max="15629" width="34.36328125" style="902" customWidth="1"/>
    <col min="15630" max="15630" width="45.08984375" style="902" customWidth="1"/>
    <col min="15631" max="15872" width="9.08984375" style="902"/>
    <col min="15873" max="15873" width="4.6328125" style="902" customWidth="1"/>
    <col min="15874" max="15874" width="10.54296875" style="902" customWidth="1"/>
    <col min="15875" max="15875" width="49.08984375" style="902" customWidth="1"/>
    <col min="15876" max="15876" width="68.54296875" style="902" customWidth="1"/>
    <col min="15877" max="15877" width="35.453125" style="902" customWidth="1"/>
    <col min="15878" max="15878" width="21" style="902" customWidth="1"/>
    <col min="15879" max="15879" width="28.453125" style="902" customWidth="1"/>
    <col min="15880" max="15880" width="30.6328125" style="902" customWidth="1"/>
    <col min="15881" max="15881" width="29.54296875" style="902" customWidth="1"/>
    <col min="15882" max="15882" width="33.54296875" style="902" customWidth="1"/>
    <col min="15883" max="15883" width="26.54296875" style="902" customWidth="1"/>
    <col min="15884" max="15884" width="31.54296875" style="902" customWidth="1"/>
    <col min="15885" max="15885" width="34.36328125" style="902" customWidth="1"/>
    <col min="15886" max="15886" width="45.08984375" style="902" customWidth="1"/>
    <col min="15887" max="16128" width="9.08984375" style="902"/>
    <col min="16129" max="16129" width="4.6328125" style="902" customWidth="1"/>
    <col min="16130" max="16130" width="10.54296875" style="902" customWidth="1"/>
    <col min="16131" max="16131" width="49.08984375" style="902" customWidth="1"/>
    <col min="16132" max="16132" width="68.54296875" style="902" customWidth="1"/>
    <col min="16133" max="16133" width="35.453125" style="902" customWidth="1"/>
    <col min="16134" max="16134" width="21" style="902" customWidth="1"/>
    <col min="16135" max="16135" width="28.453125" style="902" customWidth="1"/>
    <col min="16136" max="16136" width="30.6328125" style="902" customWidth="1"/>
    <col min="16137" max="16137" width="29.54296875" style="902" customWidth="1"/>
    <col min="16138" max="16138" width="33.54296875" style="902" customWidth="1"/>
    <col min="16139" max="16139" width="26.54296875" style="902" customWidth="1"/>
    <col min="16140" max="16140" width="31.54296875" style="902" customWidth="1"/>
    <col min="16141" max="16141" width="34.36328125" style="902" customWidth="1"/>
    <col min="16142" max="16142" width="45.08984375" style="902" customWidth="1"/>
    <col min="16143" max="16384" width="9.08984375" style="902"/>
  </cols>
  <sheetData>
    <row r="1" spans="2:14" x14ac:dyDescent="0.3">
      <c r="C1" s="903"/>
      <c r="D1" s="903"/>
    </row>
    <row r="2" spans="2:14" ht="31.5" customHeight="1" x14ac:dyDescent="0.3">
      <c r="C2" s="872"/>
      <c r="D2" s="872"/>
      <c r="E2" s="872"/>
      <c r="F2" s="872"/>
      <c r="G2" s="872"/>
      <c r="H2" s="872"/>
      <c r="I2" s="872"/>
      <c r="J2" s="872"/>
      <c r="K2" s="872"/>
      <c r="L2" s="872"/>
      <c r="M2" s="872"/>
      <c r="N2" s="872"/>
    </row>
    <row r="3" spans="2:14" s="811" customFormat="1" x14ac:dyDescent="0.3">
      <c r="B3" s="22"/>
      <c r="C3" s="871"/>
      <c r="D3" s="22"/>
      <c r="E3" s="22"/>
      <c r="F3" s="22"/>
      <c r="G3" s="22"/>
      <c r="H3" s="798" t="str">
        <f>Index!$B$2</f>
        <v xml:space="preserve">      Maharashtra State Power Generation Company Ltd.</v>
      </c>
    </row>
    <row r="4" spans="2:14" s="811" customFormat="1" x14ac:dyDescent="0.3">
      <c r="B4" s="872"/>
      <c r="C4" s="871"/>
      <c r="D4" s="858"/>
      <c r="E4" s="858"/>
      <c r="F4" s="858"/>
      <c r="G4" s="858"/>
      <c r="H4" s="809" t="s">
        <v>1192</v>
      </c>
    </row>
    <row r="5" spans="2:14" s="811" customFormat="1" x14ac:dyDescent="0.3">
      <c r="B5" s="872"/>
      <c r="C5" s="871"/>
      <c r="D5" s="858"/>
      <c r="E5" s="858"/>
      <c r="F5" s="858"/>
      <c r="G5" s="858"/>
      <c r="H5" s="905" t="s">
        <v>1429</v>
      </c>
    </row>
    <row r="6" spans="2:14" s="811" customFormat="1" x14ac:dyDescent="0.3">
      <c r="B6" s="872"/>
      <c r="C6" s="871"/>
      <c r="D6" s="858"/>
      <c r="E6" s="858"/>
      <c r="F6" s="858"/>
      <c r="G6" s="858"/>
      <c r="H6" s="905"/>
    </row>
    <row r="7" spans="2:14" ht="81" customHeight="1" x14ac:dyDescent="0.3">
      <c r="B7" s="906" t="s">
        <v>340</v>
      </c>
      <c r="C7" s="906" t="s">
        <v>1430</v>
      </c>
      <c r="D7" s="906" t="s">
        <v>1431</v>
      </c>
      <c r="E7" s="906" t="s">
        <v>1432</v>
      </c>
      <c r="F7" s="906" t="s">
        <v>1433</v>
      </c>
      <c r="G7" s="906" t="s">
        <v>1434</v>
      </c>
      <c r="H7" s="906" t="s">
        <v>1435</v>
      </c>
      <c r="I7" s="906" t="s">
        <v>1436</v>
      </c>
      <c r="J7" s="906" t="s">
        <v>1437</v>
      </c>
      <c r="K7" s="906" t="s">
        <v>1438</v>
      </c>
      <c r="L7" s="906" t="s">
        <v>1439</v>
      </c>
      <c r="M7" s="907" t="s">
        <v>1440</v>
      </c>
      <c r="N7" s="906" t="s">
        <v>1441</v>
      </c>
    </row>
    <row r="8" spans="2:14" x14ac:dyDescent="0.3">
      <c r="B8" s="908"/>
      <c r="C8" s="1844" t="s">
        <v>1199</v>
      </c>
      <c r="D8" s="1845"/>
      <c r="E8" s="1845"/>
      <c r="F8" s="1845"/>
      <c r="G8" s="1845"/>
      <c r="H8" s="1845"/>
      <c r="I8" s="1845"/>
      <c r="J8" s="1845"/>
      <c r="K8" s="1845"/>
      <c r="L8" s="1845"/>
      <c r="M8" s="1845"/>
      <c r="N8" s="1846"/>
    </row>
    <row r="9" spans="2:14" s="909" customFormat="1" x14ac:dyDescent="0.3">
      <c r="B9" s="908"/>
      <c r="C9" s="1847"/>
      <c r="D9" s="1848"/>
      <c r="E9" s="1848"/>
      <c r="F9" s="1848"/>
      <c r="G9" s="1848"/>
      <c r="H9" s="1848"/>
      <c r="I9" s="1848"/>
      <c r="J9" s="1848"/>
      <c r="K9" s="1848"/>
      <c r="L9" s="1848"/>
      <c r="M9" s="1848"/>
      <c r="N9" s="1849"/>
    </row>
    <row r="10" spans="2:14" x14ac:dyDescent="0.3">
      <c r="B10" s="908"/>
      <c r="C10" s="1847"/>
      <c r="D10" s="1848"/>
      <c r="E10" s="1848"/>
      <c r="F10" s="1848"/>
      <c r="G10" s="1848"/>
      <c r="H10" s="1848"/>
      <c r="I10" s="1848"/>
      <c r="J10" s="1848"/>
      <c r="K10" s="1848"/>
      <c r="L10" s="1848"/>
      <c r="M10" s="1848"/>
      <c r="N10" s="1849"/>
    </row>
    <row r="11" spans="2:14" x14ac:dyDescent="0.3">
      <c r="B11" s="908"/>
      <c r="C11" s="1847"/>
      <c r="D11" s="1848"/>
      <c r="E11" s="1848"/>
      <c r="F11" s="1848"/>
      <c r="G11" s="1848"/>
      <c r="H11" s="1848"/>
      <c r="I11" s="1848"/>
      <c r="J11" s="1848"/>
      <c r="K11" s="1848"/>
      <c r="L11" s="1848"/>
      <c r="M11" s="1848"/>
      <c r="N11" s="1849"/>
    </row>
    <row r="12" spans="2:14" x14ac:dyDescent="0.3">
      <c r="B12" s="908"/>
      <c r="C12" s="1847"/>
      <c r="D12" s="1848"/>
      <c r="E12" s="1848"/>
      <c r="F12" s="1848"/>
      <c r="G12" s="1848"/>
      <c r="H12" s="1848"/>
      <c r="I12" s="1848"/>
      <c r="J12" s="1848"/>
      <c r="K12" s="1848"/>
      <c r="L12" s="1848"/>
      <c r="M12" s="1848"/>
      <c r="N12" s="1849"/>
    </row>
    <row r="13" spans="2:14" ht="14.5" thickBot="1" x14ac:dyDescent="0.35">
      <c r="B13" s="910"/>
      <c r="C13" s="1850"/>
      <c r="D13" s="1851"/>
      <c r="E13" s="1851"/>
      <c r="F13" s="1851"/>
      <c r="G13" s="1851"/>
      <c r="H13" s="1851"/>
      <c r="I13" s="1851"/>
      <c r="J13" s="1851"/>
      <c r="K13" s="1851"/>
      <c r="L13" s="1851"/>
      <c r="M13" s="1851"/>
      <c r="N13" s="1852"/>
    </row>
    <row r="14" spans="2:14" x14ac:dyDescent="0.3">
      <c r="M14" s="902"/>
    </row>
    <row r="15" spans="2:14" x14ac:dyDescent="0.3">
      <c r="M15" s="902"/>
    </row>
    <row r="16" spans="2:14" x14ac:dyDescent="0.3">
      <c r="M16" s="902"/>
    </row>
    <row r="17" spans="3:13" x14ac:dyDescent="0.3">
      <c r="M17" s="902"/>
    </row>
    <row r="18" spans="3:13" x14ac:dyDescent="0.3">
      <c r="M18" s="902"/>
    </row>
    <row r="19" spans="3:13" x14ac:dyDescent="0.3">
      <c r="M19" s="902"/>
    </row>
    <row r="20" spans="3:13" x14ac:dyDescent="0.3">
      <c r="M20" s="902"/>
    </row>
    <row r="21" spans="3:13" x14ac:dyDescent="0.3">
      <c r="M21" s="902"/>
    </row>
    <row r="22" spans="3:13" x14ac:dyDescent="0.3">
      <c r="M22" s="902"/>
    </row>
    <row r="23" spans="3:13" ht="27.75" customHeight="1" x14ac:dyDescent="0.3">
      <c r="M23" s="902"/>
    </row>
    <row r="24" spans="3:13" ht="27.75" customHeight="1" x14ac:dyDescent="0.3">
      <c r="M24" s="902"/>
    </row>
    <row r="25" spans="3:13" x14ac:dyDescent="0.3">
      <c r="M25" s="902"/>
    </row>
    <row r="26" spans="3:13" x14ac:dyDescent="0.3">
      <c r="M26" s="902"/>
    </row>
    <row r="27" spans="3:13" x14ac:dyDescent="0.3">
      <c r="M27" s="902"/>
    </row>
    <row r="28" spans="3:13" x14ac:dyDescent="0.3">
      <c r="M28" s="902"/>
    </row>
    <row r="29" spans="3:13" ht="29.4" customHeight="1" x14ac:dyDescent="0.3">
      <c r="C29" s="911"/>
      <c r="M29" s="902"/>
    </row>
    <row r="30" spans="3:13" x14ac:dyDescent="0.3">
      <c r="M30" s="902"/>
    </row>
    <row r="31" spans="3:13" x14ac:dyDescent="0.3">
      <c r="M31" s="902"/>
    </row>
    <row r="32" spans="3:13" x14ac:dyDescent="0.3">
      <c r="M32" s="902"/>
    </row>
    <row r="33" spans="13:14" x14ac:dyDescent="0.3">
      <c r="M33" s="902"/>
    </row>
    <row r="34" spans="13:14" x14ac:dyDescent="0.3">
      <c r="M34" s="902"/>
    </row>
    <row r="35" spans="13:14" x14ac:dyDescent="0.3">
      <c r="M35" s="902"/>
    </row>
    <row r="36" spans="13:14" x14ac:dyDescent="0.3">
      <c r="M36" s="902"/>
    </row>
    <row r="37" spans="13:14" x14ac:dyDescent="0.3">
      <c r="M37" s="902"/>
    </row>
    <row r="38" spans="13:14" x14ac:dyDescent="0.3">
      <c r="M38" s="902"/>
    </row>
    <row r="39" spans="13:14" x14ac:dyDescent="0.3">
      <c r="M39" s="902"/>
    </row>
    <row r="40" spans="13:14" x14ac:dyDescent="0.3">
      <c r="M40" s="902"/>
    </row>
    <row r="41" spans="13:14" x14ac:dyDescent="0.3">
      <c r="M41" s="902"/>
    </row>
    <row r="42" spans="13:14" x14ac:dyDescent="0.3">
      <c r="M42" s="902"/>
    </row>
    <row r="43" spans="13:14" x14ac:dyDescent="0.3">
      <c r="M43" s="902"/>
    </row>
    <row r="44" spans="13:14" x14ac:dyDescent="0.3">
      <c r="M44" s="902"/>
    </row>
    <row r="45" spans="13:14" x14ac:dyDescent="0.3">
      <c r="M45" s="902"/>
      <c r="N45" s="912"/>
    </row>
    <row r="46" spans="13:14" x14ac:dyDescent="0.3">
      <c r="M46" s="902"/>
    </row>
    <row r="47" spans="13:14" x14ac:dyDescent="0.3">
      <c r="M47" s="902"/>
    </row>
    <row r="48" spans="13:14" x14ac:dyDescent="0.3">
      <c r="M48" s="902"/>
    </row>
    <row r="49" spans="4:14" x14ac:dyDescent="0.3">
      <c r="M49" s="902"/>
    </row>
    <row r="50" spans="4:14" x14ac:dyDescent="0.3">
      <c r="M50" s="902"/>
    </row>
    <row r="51" spans="4:14" x14ac:dyDescent="0.3">
      <c r="M51" s="902"/>
    </row>
    <row r="52" spans="4:14" x14ac:dyDescent="0.3">
      <c r="M52" s="902"/>
    </row>
    <row r="53" spans="4:14" x14ac:dyDescent="0.3">
      <c r="M53" s="902"/>
    </row>
    <row r="54" spans="4:14" x14ac:dyDescent="0.3">
      <c r="M54" s="902"/>
    </row>
    <row r="55" spans="4:14" x14ac:dyDescent="0.3">
      <c r="M55" s="902"/>
    </row>
    <row r="56" spans="4:14" x14ac:dyDescent="0.3">
      <c r="M56" s="902"/>
    </row>
    <row r="57" spans="4:14" x14ac:dyDescent="0.3">
      <c r="M57" s="902"/>
    </row>
    <row r="58" spans="4:14" x14ac:dyDescent="0.3">
      <c r="M58" s="902"/>
    </row>
    <row r="59" spans="4:14" x14ac:dyDescent="0.3">
      <c r="M59" s="902"/>
      <c r="N59" s="912"/>
    </row>
    <row r="60" spans="4:14" x14ac:dyDescent="0.3">
      <c r="M60" s="902"/>
    </row>
    <row r="61" spans="4:14" x14ac:dyDescent="0.3">
      <c r="M61" s="902"/>
    </row>
    <row r="62" spans="4:14" x14ac:dyDescent="0.3">
      <c r="M62" s="913"/>
    </row>
    <row r="63" spans="4:14" x14ac:dyDescent="0.3">
      <c r="M63" s="914"/>
    </row>
    <row r="64" spans="4:14" x14ac:dyDescent="0.3">
      <c r="D64" s="915"/>
    </row>
    <row r="65" spans="13:13" x14ac:dyDescent="0.3">
      <c r="M65" s="914"/>
    </row>
    <row r="70" spans="13:13" x14ac:dyDescent="0.3">
      <c r="M70" s="913"/>
    </row>
    <row r="73" spans="13:13" x14ac:dyDescent="0.3">
      <c r="M73" s="913"/>
    </row>
    <row r="75" spans="13:13" x14ac:dyDescent="0.3">
      <c r="M75" s="916"/>
    </row>
    <row r="76" spans="13:13" x14ac:dyDescent="0.3">
      <c r="M76" s="917"/>
    </row>
  </sheetData>
  <mergeCells count="1">
    <mergeCell ref="C8:N13"/>
  </mergeCells>
  <printOptions horizontalCentered="1"/>
  <pageMargins left="0.55118110236220474" right="0.51181102362204722" top="1.1811023622047245" bottom="0.98425196850393704" header="0.39370078740157483" footer="0.31496062992125984"/>
  <pageSetup paperSize="9" scale="63"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T29"/>
  <sheetViews>
    <sheetView showGridLines="0" view="pageBreakPreview" zoomScale="80" zoomScaleSheetLayoutView="80" workbookViewId="0">
      <selection activeCell="A2" sqref="A2:T2"/>
    </sheetView>
  </sheetViews>
  <sheetFormatPr defaultColWidth="9.08984375" defaultRowHeight="14" x14ac:dyDescent="0.3"/>
  <cols>
    <col min="1" max="1" width="9.08984375" style="1"/>
    <col min="2" max="2" width="24.6328125" style="1" customWidth="1"/>
    <col min="3" max="4" width="12.453125" style="1" customWidth="1"/>
    <col min="5" max="5" width="13.36328125" style="1" customWidth="1"/>
    <col min="6" max="7" width="12.453125" style="1" customWidth="1"/>
    <col min="8" max="8" width="13.453125" style="1" customWidth="1"/>
    <col min="9" max="10" width="12.453125" style="1" customWidth="1"/>
    <col min="11" max="14" width="13.36328125" style="1" customWidth="1"/>
    <col min="15" max="16" width="12.453125" style="1" customWidth="1"/>
    <col min="17" max="17" width="13.36328125" style="1" customWidth="1"/>
    <col min="18" max="19" width="16.6328125" style="1" customWidth="1"/>
    <col min="20" max="20" width="26.6328125" style="1" customWidth="1"/>
    <col min="21" max="260" width="9.08984375" style="1"/>
    <col min="261" max="261" width="71" style="1" customWidth="1"/>
    <col min="262" max="262" width="22.6328125" style="1" bestFit="1" customWidth="1"/>
    <col min="263" max="263" width="33" style="1" bestFit="1" customWidth="1"/>
    <col min="264" max="264" width="26.54296875" style="1" bestFit="1" customWidth="1"/>
    <col min="265" max="265" width="22.6328125" style="1" bestFit="1" customWidth="1"/>
    <col min="266" max="266" width="33" style="1" bestFit="1" customWidth="1"/>
    <col min="267" max="267" width="26.54296875" style="1" customWidth="1"/>
    <col min="268" max="268" width="22.6328125" style="1" bestFit="1" customWidth="1"/>
    <col min="269" max="270" width="33" style="1" bestFit="1" customWidth="1"/>
    <col min="271" max="271" width="22.6328125" style="1" bestFit="1" customWidth="1"/>
    <col min="272" max="272" width="33" style="1" bestFit="1" customWidth="1"/>
    <col min="273" max="273" width="25.6328125" style="1" customWidth="1"/>
    <col min="274" max="275" width="16.6328125" style="1" customWidth="1"/>
    <col min="276" max="276" width="26.6328125" style="1" customWidth="1"/>
    <col min="277" max="516" width="9.08984375" style="1"/>
    <col min="517" max="517" width="71" style="1" customWidth="1"/>
    <col min="518" max="518" width="22.6328125" style="1" bestFit="1" customWidth="1"/>
    <col min="519" max="519" width="33" style="1" bestFit="1" customWidth="1"/>
    <col min="520" max="520" width="26.54296875" style="1" bestFit="1" customWidth="1"/>
    <col min="521" max="521" width="22.6328125" style="1" bestFit="1" customWidth="1"/>
    <col min="522" max="522" width="33" style="1" bestFit="1" customWidth="1"/>
    <col min="523" max="523" width="26.54296875" style="1" customWidth="1"/>
    <col min="524" max="524" width="22.6328125" style="1" bestFit="1" customWidth="1"/>
    <col min="525" max="526" width="33" style="1" bestFit="1" customWidth="1"/>
    <col min="527" max="527" width="22.6328125" style="1" bestFit="1" customWidth="1"/>
    <col min="528" max="528" width="33" style="1" bestFit="1" customWidth="1"/>
    <col min="529" max="529" width="25.6328125" style="1" customWidth="1"/>
    <col min="530" max="531" width="16.6328125" style="1" customWidth="1"/>
    <col min="532" max="532" width="26.6328125" style="1" customWidth="1"/>
    <col min="533" max="772" width="9.08984375" style="1"/>
    <col min="773" max="773" width="71" style="1" customWidth="1"/>
    <col min="774" max="774" width="22.6328125" style="1" bestFit="1" customWidth="1"/>
    <col min="775" max="775" width="33" style="1" bestFit="1" customWidth="1"/>
    <col min="776" max="776" width="26.54296875" style="1" bestFit="1" customWidth="1"/>
    <col min="777" max="777" width="22.6328125" style="1" bestFit="1" customWidth="1"/>
    <col min="778" max="778" width="33" style="1" bestFit="1" customWidth="1"/>
    <col min="779" max="779" width="26.54296875" style="1" customWidth="1"/>
    <col min="780" max="780" width="22.6328125" style="1" bestFit="1" customWidth="1"/>
    <col min="781" max="782" width="33" style="1" bestFit="1" customWidth="1"/>
    <col min="783" max="783" width="22.6328125" style="1" bestFit="1" customWidth="1"/>
    <col min="784" max="784" width="33" style="1" bestFit="1" customWidth="1"/>
    <col min="785" max="785" width="25.6328125" style="1" customWidth="1"/>
    <col min="786" max="787" width="16.6328125" style="1" customWidth="1"/>
    <col min="788" max="788" width="26.6328125" style="1" customWidth="1"/>
    <col min="789" max="1028" width="9.08984375" style="1"/>
    <col min="1029" max="1029" width="71" style="1" customWidth="1"/>
    <col min="1030" max="1030" width="22.6328125" style="1" bestFit="1" customWidth="1"/>
    <col min="1031" max="1031" width="33" style="1" bestFit="1" customWidth="1"/>
    <col min="1032" max="1032" width="26.54296875" style="1" bestFit="1" customWidth="1"/>
    <col min="1033" max="1033" width="22.6328125" style="1" bestFit="1" customWidth="1"/>
    <col min="1034" max="1034" width="33" style="1" bestFit="1" customWidth="1"/>
    <col min="1035" max="1035" width="26.54296875" style="1" customWidth="1"/>
    <col min="1036" max="1036" width="22.6328125" style="1" bestFit="1" customWidth="1"/>
    <col min="1037" max="1038" width="33" style="1" bestFit="1" customWidth="1"/>
    <col min="1039" max="1039" width="22.6328125" style="1" bestFit="1" customWidth="1"/>
    <col min="1040" max="1040" width="33" style="1" bestFit="1" customWidth="1"/>
    <col min="1041" max="1041" width="25.6328125" style="1" customWidth="1"/>
    <col min="1042" max="1043" width="16.6328125" style="1" customWidth="1"/>
    <col min="1044" max="1044" width="26.6328125" style="1" customWidth="1"/>
    <col min="1045" max="1284" width="9.08984375" style="1"/>
    <col min="1285" max="1285" width="71" style="1" customWidth="1"/>
    <col min="1286" max="1286" width="22.6328125" style="1" bestFit="1" customWidth="1"/>
    <col min="1287" max="1287" width="33" style="1" bestFit="1" customWidth="1"/>
    <col min="1288" max="1288" width="26.54296875" style="1" bestFit="1" customWidth="1"/>
    <col min="1289" max="1289" width="22.6328125" style="1" bestFit="1" customWidth="1"/>
    <col min="1290" max="1290" width="33" style="1" bestFit="1" customWidth="1"/>
    <col min="1291" max="1291" width="26.54296875" style="1" customWidth="1"/>
    <col min="1292" max="1292" width="22.6328125" style="1" bestFit="1" customWidth="1"/>
    <col min="1293" max="1294" width="33" style="1" bestFit="1" customWidth="1"/>
    <col min="1295" max="1295" width="22.6328125" style="1" bestFit="1" customWidth="1"/>
    <col min="1296" max="1296" width="33" style="1" bestFit="1" customWidth="1"/>
    <col min="1297" max="1297" width="25.6328125" style="1" customWidth="1"/>
    <col min="1298" max="1299" width="16.6328125" style="1" customWidth="1"/>
    <col min="1300" max="1300" width="26.6328125" style="1" customWidth="1"/>
    <col min="1301" max="1540" width="9.08984375" style="1"/>
    <col min="1541" max="1541" width="71" style="1" customWidth="1"/>
    <col min="1542" max="1542" width="22.6328125" style="1" bestFit="1" customWidth="1"/>
    <col min="1543" max="1543" width="33" style="1" bestFit="1" customWidth="1"/>
    <col min="1544" max="1544" width="26.54296875" style="1" bestFit="1" customWidth="1"/>
    <col min="1545" max="1545" width="22.6328125" style="1" bestFit="1" customWidth="1"/>
    <col min="1546" max="1546" width="33" style="1" bestFit="1" customWidth="1"/>
    <col min="1547" max="1547" width="26.54296875" style="1" customWidth="1"/>
    <col min="1548" max="1548" width="22.6328125" style="1" bestFit="1" customWidth="1"/>
    <col min="1549" max="1550" width="33" style="1" bestFit="1" customWidth="1"/>
    <col min="1551" max="1551" width="22.6328125" style="1" bestFit="1" customWidth="1"/>
    <col min="1552" max="1552" width="33" style="1" bestFit="1" customWidth="1"/>
    <col min="1553" max="1553" width="25.6328125" style="1" customWidth="1"/>
    <col min="1554" max="1555" width="16.6328125" style="1" customWidth="1"/>
    <col min="1556" max="1556" width="26.6328125" style="1" customWidth="1"/>
    <col min="1557" max="1796" width="9.08984375" style="1"/>
    <col min="1797" max="1797" width="71" style="1" customWidth="1"/>
    <col min="1798" max="1798" width="22.6328125" style="1" bestFit="1" customWidth="1"/>
    <col min="1799" max="1799" width="33" style="1" bestFit="1" customWidth="1"/>
    <col min="1800" max="1800" width="26.54296875" style="1" bestFit="1" customWidth="1"/>
    <col min="1801" max="1801" width="22.6328125" style="1" bestFit="1" customWidth="1"/>
    <col min="1802" max="1802" width="33" style="1" bestFit="1" customWidth="1"/>
    <col min="1803" max="1803" width="26.54296875" style="1" customWidth="1"/>
    <col min="1804" max="1804" width="22.6328125" style="1" bestFit="1" customWidth="1"/>
    <col min="1805" max="1806" width="33" style="1" bestFit="1" customWidth="1"/>
    <col min="1807" max="1807" width="22.6328125" style="1" bestFit="1" customWidth="1"/>
    <col min="1808" max="1808" width="33" style="1" bestFit="1" customWidth="1"/>
    <col min="1809" max="1809" width="25.6328125" style="1" customWidth="1"/>
    <col min="1810" max="1811" width="16.6328125" style="1" customWidth="1"/>
    <col min="1812" max="1812" width="26.6328125" style="1" customWidth="1"/>
    <col min="1813" max="2052" width="9.08984375" style="1"/>
    <col min="2053" max="2053" width="71" style="1" customWidth="1"/>
    <col min="2054" max="2054" width="22.6328125" style="1" bestFit="1" customWidth="1"/>
    <col min="2055" max="2055" width="33" style="1" bestFit="1" customWidth="1"/>
    <col min="2056" max="2056" width="26.54296875" style="1" bestFit="1" customWidth="1"/>
    <col min="2057" max="2057" width="22.6328125" style="1" bestFit="1" customWidth="1"/>
    <col min="2058" max="2058" width="33" style="1" bestFit="1" customWidth="1"/>
    <col min="2059" max="2059" width="26.54296875" style="1" customWidth="1"/>
    <col min="2060" max="2060" width="22.6328125" style="1" bestFit="1" customWidth="1"/>
    <col min="2061" max="2062" width="33" style="1" bestFit="1" customWidth="1"/>
    <col min="2063" max="2063" width="22.6328125" style="1" bestFit="1" customWidth="1"/>
    <col min="2064" max="2064" width="33" style="1" bestFit="1" customWidth="1"/>
    <col min="2065" max="2065" width="25.6328125" style="1" customWidth="1"/>
    <col min="2066" max="2067" width="16.6328125" style="1" customWidth="1"/>
    <col min="2068" max="2068" width="26.6328125" style="1" customWidth="1"/>
    <col min="2069" max="2308" width="9.08984375" style="1"/>
    <col min="2309" max="2309" width="71" style="1" customWidth="1"/>
    <col min="2310" max="2310" width="22.6328125" style="1" bestFit="1" customWidth="1"/>
    <col min="2311" max="2311" width="33" style="1" bestFit="1" customWidth="1"/>
    <col min="2312" max="2312" width="26.54296875" style="1" bestFit="1" customWidth="1"/>
    <col min="2313" max="2313" width="22.6328125" style="1" bestFit="1" customWidth="1"/>
    <col min="2314" max="2314" width="33" style="1" bestFit="1" customWidth="1"/>
    <col min="2315" max="2315" width="26.54296875" style="1" customWidth="1"/>
    <col min="2316" max="2316" width="22.6328125" style="1" bestFit="1" customWidth="1"/>
    <col min="2317" max="2318" width="33" style="1" bestFit="1" customWidth="1"/>
    <col min="2319" max="2319" width="22.6328125" style="1" bestFit="1" customWidth="1"/>
    <col min="2320" max="2320" width="33" style="1" bestFit="1" customWidth="1"/>
    <col min="2321" max="2321" width="25.6328125" style="1" customWidth="1"/>
    <col min="2322" max="2323" width="16.6328125" style="1" customWidth="1"/>
    <col min="2324" max="2324" width="26.6328125" style="1" customWidth="1"/>
    <col min="2325" max="2564" width="9.08984375" style="1"/>
    <col min="2565" max="2565" width="71" style="1" customWidth="1"/>
    <col min="2566" max="2566" width="22.6328125" style="1" bestFit="1" customWidth="1"/>
    <col min="2567" max="2567" width="33" style="1" bestFit="1" customWidth="1"/>
    <col min="2568" max="2568" width="26.54296875" style="1" bestFit="1" customWidth="1"/>
    <col min="2569" max="2569" width="22.6328125" style="1" bestFit="1" customWidth="1"/>
    <col min="2570" max="2570" width="33" style="1" bestFit="1" customWidth="1"/>
    <col min="2571" max="2571" width="26.54296875" style="1" customWidth="1"/>
    <col min="2572" max="2572" width="22.6328125" style="1" bestFit="1" customWidth="1"/>
    <col min="2573" max="2574" width="33" style="1" bestFit="1" customWidth="1"/>
    <col min="2575" max="2575" width="22.6328125" style="1" bestFit="1" customWidth="1"/>
    <col min="2576" max="2576" width="33" style="1" bestFit="1" customWidth="1"/>
    <col min="2577" max="2577" width="25.6328125" style="1" customWidth="1"/>
    <col min="2578" max="2579" width="16.6328125" style="1" customWidth="1"/>
    <col min="2580" max="2580" width="26.6328125" style="1" customWidth="1"/>
    <col min="2581" max="2820" width="9.08984375" style="1"/>
    <col min="2821" max="2821" width="71" style="1" customWidth="1"/>
    <col min="2822" max="2822" width="22.6328125" style="1" bestFit="1" customWidth="1"/>
    <col min="2823" max="2823" width="33" style="1" bestFit="1" customWidth="1"/>
    <col min="2824" max="2824" width="26.54296875" style="1" bestFit="1" customWidth="1"/>
    <col min="2825" max="2825" width="22.6328125" style="1" bestFit="1" customWidth="1"/>
    <col min="2826" max="2826" width="33" style="1" bestFit="1" customWidth="1"/>
    <col min="2827" max="2827" width="26.54296875" style="1" customWidth="1"/>
    <col min="2828" max="2828" width="22.6328125" style="1" bestFit="1" customWidth="1"/>
    <col min="2829" max="2830" width="33" style="1" bestFit="1" customWidth="1"/>
    <col min="2831" max="2831" width="22.6328125" style="1" bestFit="1" customWidth="1"/>
    <col min="2832" max="2832" width="33" style="1" bestFit="1" customWidth="1"/>
    <col min="2833" max="2833" width="25.6328125" style="1" customWidth="1"/>
    <col min="2834" max="2835" width="16.6328125" style="1" customWidth="1"/>
    <col min="2836" max="2836" width="26.6328125" style="1" customWidth="1"/>
    <col min="2837" max="3076" width="9.08984375" style="1"/>
    <col min="3077" max="3077" width="71" style="1" customWidth="1"/>
    <col min="3078" max="3078" width="22.6328125" style="1" bestFit="1" customWidth="1"/>
    <col min="3079" max="3079" width="33" style="1" bestFit="1" customWidth="1"/>
    <col min="3080" max="3080" width="26.54296875" style="1" bestFit="1" customWidth="1"/>
    <col min="3081" max="3081" width="22.6328125" style="1" bestFit="1" customWidth="1"/>
    <col min="3082" max="3082" width="33" style="1" bestFit="1" customWidth="1"/>
    <col min="3083" max="3083" width="26.54296875" style="1" customWidth="1"/>
    <col min="3084" max="3084" width="22.6328125" style="1" bestFit="1" customWidth="1"/>
    <col min="3085" max="3086" width="33" style="1" bestFit="1" customWidth="1"/>
    <col min="3087" max="3087" width="22.6328125" style="1" bestFit="1" customWidth="1"/>
    <col min="3088" max="3088" width="33" style="1" bestFit="1" customWidth="1"/>
    <col min="3089" max="3089" width="25.6328125" style="1" customWidth="1"/>
    <col min="3090" max="3091" width="16.6328125" style="1" customWidth="1"/>
    <col min="3092" max="3092" width="26.6328125" style="1" customWidth="1"/>
    <col min="3093" max="3332" width="9.08984375" style="1"/>
    <col min="3333" max="3333" width="71" style="1" customWidth="1"/>
    <col min="3334" max="3334" width="22.6328125" style="1" bestFit="1" customWidth="1"/>
    <col min="3335" max="3335" width="33" style="1" bestFit="1" customWidth="1"/>
    <col min="3336" max="3336" width="26.54296875" style="1" bestFit="1" customWidth="1"/>
    <col min="3337" max="3337" width="22.6328125" style="1" bestFit="1" customWidth="1"/>
    <col min="3338" max="3338" width="33" style="1" bestFit="1" customWidth="1"/>
    <col min="3339" max="3339" width="26.54296875" style="1" customWidth="1"/>
    <col min="3340" max="3340" width="22.6328125" style="1" bestFit="1" customWidth="1"/>
    <col min="3341" max="3342" width="33" style="1" bestFit="1" customWidth="1"/>
    <col min="3343" max="3343" width="22.6328125" style="1" bestFit="1" customWidth="1"/>
    <col min="3344" max="3344" width="33" style="1" bestFit="1" customWidth="1"/>
    <col min="3345" max="3345" width="25.6328125" style="1" customWidth="1"/>
    <col min="3346" max="3347" width="16.6328125" style="1" customWidth="1"/>
    <col min="3348" max="3348" width="26.6328125" style="1" customWidth="1"/>
    <col min="3349" max="3588" width="9.08984375" style="1"/>
    <col min="3589" max="3589" width="71" style="1" customWidth="1"/>
    <col min="3590" max="3590" width="22.6328125" style="1" bestFit="1" customWidth="1"/>
    <col min="3591" max="3591" width="33" style="1" bestFit="1" customWidth="1"/>
    <col min="3592" max="3592" width="26.54296875" style="1" bestFit="1" customWidth="1"/>
    <col min="3593" max="3593" width="22.6328125" style="1" bestFit="1" customWidth="1"/>
    <col min="3594" max="3594" width="33" style="1" bestFit="1" customWidth="1"/>
    <col min="3595" max="3595" width="26.54296875" style="1" customWidth="1"/>
    <col min="3596" max="3596" width="22.6328125" style="1" bestFit="1" customWidth="1"/>
    <col min="3597" max="3598" width="33" style="1" bestFit="1" customWidth="1"/>
    <col min="3599" max="3599" width="22.6328125" style="1" bestFit="1" customWidth="1"/>
    <col min="3600" max="3600" width="33" style="1" bestFit="1" customWidth="1"/>
    <col min="3601" max="3601" width="25.6328125" style="1" customWidth="1"/>
    <col min="3602" max="3603" width="16.6328125" style="1" customWidth="1"/>
    <col min="3604" max="3604" width="26.6328125" style="1" customWidth="1"/>
    <col min="3605" max="3844" width="9.08984375" style="1"/>
    <col min="3845" max="3845" width="71" style="1" customWidth="1"/>
    <col min="3846" max="3846" width="22.6328125" style="1" bestFit="1" customWidth="1"/>
    <col min="3847" max="3847" width="33" style="1" bestFit="1" customWidth="1"/>
    <col min="3848" max="3848" width="26.54296875" style="1" bestFit="1" customWidth="1"/>
    <col min="3849" max="3849" width="22.6328125" style="1" bestFit="1" customWidth="1"/>
    <col min="3850" max="3850" width="33" style="1" bestFit="1" customWidth="1"/>
    <col min="3851" max="3851" width="26.54296875" style="1" customWidth="1"/>
    <col min="3852" max="3852" width="22.6328125" style="1" bestFit="1" customWidth="1"/>
    <col min="3853" max="3854" width="33" style="1" bestFit="1" customWidth="1"/>
    <col min="3855" max="3855" width="22.6328125" style="1" bestFit="1" customWidth="1"/>
    <col min="3856" max="3856" width="33" style="1" bestFit="1" customWidth="1"/>
    <col min="3857" max="3857" width="25.6328125" style="1" customWidth="1"/>
    <col min="3858" max="3859" width="16.6328125" style="1" customWidth="1"/>
    <col min="3860" max="3860" width="26.6328125" style="1" customWidth="1"/>
    <col min="3861" max="4100" width="9.08984375" style="1"/>
    <col min="4101" max="4101" width="71" style="1" customWidth="1"/>
    <col min="4102" max="4102" width="22.6328125" style="1" bestFit="1" customWidth="1"/>
    <col min="4103" max="4103" width="33" style="1" bestFit="1" customWidth="1"/>
    <col min="4104" max="4104" width="26.54296875" style="1" bestFit="1" customWidth="1"/>
    <col min="4105" max="4105" width="22.6328125" style="1" bestFit="1" customWidth="1"/>
    <col min="4106" max="4106" width="33" style="1" bestFit="1" customWidth="1"/>
    <col min="4107" max="4107" width="26.54296875" style="1" customWidth="1"/>
    <col min="4108" max="4108" width="22.6328125" style="1" bestFit="1" customWidth="1"/>
    <col min="4109" max="4110" width="33" style="1" bestFit="1" customWidth="1"/>
    <col min="4111" max="4111" width="22.6328125" style="1" bestFit="1" customWidth="1"/>
    <col min="4112" max="4112" width="33" style="1" bestFit="1" customWidth="1"/>
    <col min="4113" max="4113" width="25.6328125" style="1" customWidth="1"/>
    <col min="4114" max="4115" width="16.6328125" style="1" customWidth="1"/>
    <col min="4116" max="4116" width="26.6328125" style="1" customWidth="1"/>
    <col min="4117" max="4356" width="9.08984375" style="1"/>
    <col min="4357" max="4357" width="71" style="1" customWidth="1"/>
    <col min="4358" max="4358" width="22.6328125" style="1" bestFit="1" customWidth="1"/>
    <col min="4359" max="4359" width="33" style="1" bestFit="1" customWidth="1"/>
    <col min="4360" max="4360" width="26.54296875" style="1" bestFit="1" customWidth="1"/>
    <col min="4361" max="4361" width="22.6328125" style="1" bestFit="1" customWidth="1"/>
    <col min="4362" max="4362" width="33" style="1" bestFit="1" customWidth="1"/>
    <col min="4363" max="4363" width="26.54296875" style="1" customWidth="1"/>
    <col min="4364" max="4364" width="22.6328125" style="1" bestFit="1" customWidth="1"/>
    <col min="4365" max="4366" width="33" style="1" bestFit="1" customWidth="1"/>
    <col min="4367" max="4367" width="22.6328125" style="1" bestFit="1" customWidth="1"/>
    <col min="4368" max="4368" width="33" style="1" bestFit="1" customWidth="1"/>
    <col min="4369" max="4369" width="25.6328125" style="1" customWidth="1"/>
    <col min="4370" max="4371" width="16.6328125" style="1" customWidth="1"/>
    <col min="4372" max="4372" width="26.6328125" style="1" customWidth="1"/>
    <col min="4373" max="4612" width="9.08984375" style="1"/>
    <col min="4613" max="4613" width="71" style="1" customWidth="1"/>
    <col min="4614" max="4614" width="22.6328125" style="1" bestFit="1" customWidth="1"/>
    <col min="4615" max="4615" width="33" style="1" bestFit="1" customWidth="1"/>
    <col min="4616" max="4616" width="26.54296875" style="1" bestFit="1" customWidth="1"/>
    <col min="4617" max="4617" width="22.6328125" style="1" bestFit="1" customWidth="1"/>
    <col min="4618" max="4618" width="33" style="1" bestFit="1" customWidth="1"/>
    <col min="4619" max="4619" width="26.54296875" style="1" customWidth="1"/>
    <col min="4620" max="4620" width="22.6328125" style="1" bestFit="1" customWidth="1"/>
    <col min="4621" max="4622" width="33" style="1" bestFit="1" customWidth="1"/>
    <col min="4623" max="4623" width="22.6328125" style="1" bestFit="1" customWidth="1"/>
    <col min="4624" max="4624" width="33" style="1" bestFit="1" customWidth="1"/>
    <col min="4625" max="4625" width="25.6328125" style="1" customWidth="1"/>
    <col min="4626" max="4627" width="16.6328125" style="1" customWidth="1"/>
    <col min="4628" max="4628" width="26.6328125" style="1" customWidth="1"/>
    <col min="4629" max="4868" width="9.08984375" style="1"/>
    <col min="4869" max="4869" width="71" style="1" customWidth="1"/>
    <col min="4870" max="4870" width="22.6328125" style="1" bestFit="1" customWidth="1"/>
    <col min="4871" max="4871" width="33" style="1" bestFit="1" customWidth="1"/>
    <col min="4872" max="4872" width="26.54296875" style="1" bestFit="1" customWidth="1"/>
    <col min="4873" max="4873" width="22.6328125" style="1" bestFit="1" customWidth="1"/>
    <col min="4874" max="4874" width="33" style="1" bestFit="1" customWidth="1"/>
    <col min="4875" max="4875" width="26.54296875" style="1" customWidth="1"/>
    <col min="4876" max="4876" width="22.6328125" style="1" bestFit="1" customWidth="1"/>
    <col min="4877" max="4878" width="33" style="1" bestFit="1" customWidth="1"/>
    <col min="4879" max="4879" width="22.6328125" style="1" bestFit="1" customWidth="1"/>
    <col min="4880" max="4880" width="33" style="1" bestFit="1" customWidth="1"/>
    <col min="4881" max="4881" width="25.6328125" style="1" customWidth="1"/>
    <col min="4882" max="4883" width="16.6328125" style="1" customWidth="1"/>
    <col min="4884" max="4884" width="26.6328125" style="1" customWidth="1"/>
    <col min="4885" max="5124" width="9.08984375" style="1"/>
    <col min="5125" max="5125" width="71" style="1" customWidth="1"/>
    <col min="5126" max="5126" width="22.6328125" style="1" bestFit="1" customWidth="1"/>
    <col min="5127" max="5127" width="33" style="1" bestFit="1" customWidth="1"/>
    <col min="5128" max="5128" width="26.54296875" style="1" bestFit="1" customWidth="1"/>
    <col min="5129" max="5129" width="22.6328125" style="1" bestFit="1" customWidth="1"/>
    <col min="5130" max="5130" width="33" style="1" bestFit="1" customWidth="1"/>
    <col min="5131" max="5131" width="26.54296875" style="1" customWidth="1"/>
    <col min="5132" max="5132" width="22.6328125" style="1" bestFit="1" customWidth="1"/>
    <col min="5133" max="5134" width="33" style="1" bestFit="1" customWidth="1"/>
    <col min="5135" max="5135" width="22.6328125" style="1" bestFit="1" customWidth="1"/>
    <col min="5136" max="5136" width="33" style="1" bestFit="1" customWidth="1"/>
    <col min="5137" max="5137" width="25.6328125" style="1" customWidth="1"/>
    <col min="5138" max="5139" width="16.6328125" style="1" customWidth="1"/>
    <col min="5140" max="5140" width="26.6328125" style="1" customWidth="1"/>
    <col min="5141" max="5380" width="9.08984375" style="1"/>
    <col min="5381" max="5381" width="71" style="1" customWidth="1"/>
    <col min="5382" max="5382" width="22.6328125" style="1" bestFit="1" customWidth="1"/>
    <col min="5383" max="5383" width="33" style="1" bestFit="1" customWidth="1"/>
    <col min="5384" max="5384" width="26.54296875" style="1" bestFit="1" customWidth="1"/>
    <col min="5385" max="5385" width="22.6328125" style="1" bestFit="1" customWidth="1"/>
    <col min="5386" max="5386" width="33" style="1" bestFit="1" customWidth="1"/>
    <col min="5387" max="5387" width="26.54296875" style="1" customWidth="1"/>
    <col min="5388" max="5388" width="22.6328125" style="1" bestFit="1" customWidth="1"/>
    <col min="5389" max="5390" width="33" style="1" bestFit="1" customWidth="1"/>
    <col min="5391" max="5391" width="22.6328125" style="1" bestFit="1" customWidth="1"/>
    <col min="5392" max="5392" width="33" style="1" bestFit="1" customWidth="1"/>
    <col min="5393" max="5393" width="25.6328125" style="1" customWidth="1"/>
    <col min="5394" max="5395" width="16.6328125" style="1" customWidth="1"/>
    <col min="5396" max="5396" width="26.6328125" style="1" customWidth="1"/>
    <col min="5397" max="5636" width="9.08984375" style="1"/>
    <col min="5637" max="5637" width="71" style="1" customWidth="1"/>
    <col min="5638" max="5638" width="22.6328125" style="1" bestFit="1" customWidth="1"/>
    <col min="5639" max="5639" width="33" style="1" bestFit="1" customWidth="1"/>
    <col min="5640" max="5640" width="26.54296875" style="1" bestFit="1" customWidth="1"/>
    <col min="5641" max="5641" width="22.6328125" style="1" bestFit="1" customWidth="1"/>
    <col min="5642" max="5642" width="33" style="1" bestFit="1" customWidth="1"/>
    <col min="5643" max="5643" width="26.54296875" style="1" customWidth="1"/>
    <col min="5644" max="5644" width="22.6328125" style="1" bestFit="1" customWidth="1"/>
    <col min="5645" max="5646" width="33" style="1" bestFit="1" customWidth="1"/>
    <col min="5647" max="5647" width="22.6328125" style="1" bestFit="1" customWidth="1"/>
    <col min="5648" max="5648" width="33" style="1" bestFit="1" customWidth="1"/>
    <col min="5649" max="5649" width="25.6328125" style="1" customWidth="1"/>
    <col min="5650" max="5651" width="16.6328125" style="1" customWidth="1"/>
    <col min="5652" max="5652" width="26.6328125" style="1" customWidth="1"/>
    <col min="5653" max="5892" width="9.08984375" style="1"/>
    <col min="5893" max="5893" width="71" style="1" customWidth="1"/>
    <col min="5894" max="5894" width="22.6328125" style="1" bestFit="1" customWidth="1"/>
    <col min="5895" max="5895" width="33" style="1" bestFit="1" customWidth="1"/>
    <col min="5896" max="5896" width="26.54296875" style="1" bestFit="1" customWidth="1"/>
    <col min="5897" max="5897" width="22.6328125" style="1" bestFit="1" customWidth="1"/>
    <col min="5898" max="5898" width="33" style="1" bestFit="1" customWidth="1"/>
    <col min="5899" max="5899" width="26.54296875" style="1" customWidth="1"/>
    <col min="5900" max="5900" width="22.6328125" style="1" bestFit="1" customWidth="1"/>
    <col min="5901" max="5902" width="33" style="1" bestFit="1" customWidth="1"/>
    <col min="5903" max="5903" width="22.6328125" style="1" bestFit="1" customWidth="1"/>
    <col min="5904" max="5904" width="33" style="1" bestFit="1" customWidth="1"/>
    <col min="5905" max="5905" width="25.6328125" style="1" customWidth="1"/>
    <col min="5906" max="5907" width="16.6328125" style="1" customWidth="1"/>
    <col min="5908" max="5908" width="26.6328125" style="1" customWidth="1"/>
    <col min="5909" max="6148" width="9.08984375" style="1"/>
    <col min="6149" max="6149" width="71" style="1" customWidth="1"/>
    <col min="6150" max="6150" width="22.6328125" style="1" bestFit="1" customWidth="1"/>
    <col min="6151" max="6151" width="33" style="1" bestFit="1" customWidth="1"/>
    <col min="6152" max="6152" width="26.54296875" style="1" bestFit="1" customWidth="1"/>
    <col min="6153" max="6153" width="22.6328125" style="1" bestFit="1" customWidth="1"/>
    <col min="6154" max="6154" width="33" style="1" bestFit="1" customWidth="1"/>
    <col min="6155" max="6155" width="26.54296875" style="1" customWidth="1"/>
    <col min="6156" max="6156" width="22.6328125" style="1" bestFit="1" customWidth="1"/>
    <col min="6157" max="6158" width="33" style="1" bestFit="1" customWidth="1"/>
    <col min="6159" max="6159" width="22.6328125" style="1" bestFit="1" customWidth="1"/>
    <col min="6160" max="6160" width="33" style="1" bestFit="1" customWidth="1"/>
    <col min="6161" max="6161" width="25.6328125" style="1" customWidth="1"/>
    <col min="6162" max="6163" width="16.6328125" style="1" customWidth="1"/>
    <col min="6164" max="6164" width="26.6328125" style="1" customWidth="1"/>
    <col min="6165" max="6404" width="9.08984375" style="1"/>
    <col min="6405" max="6405" width="71" style="1" customWidth="1"/>
    <col min="6406" max="6406" width="22.6328125" style="1" bestFit="1" customWidth="1"/>
    <col min="6407" max="6407" width="33" style="1" bestFit="1" customWidth="1"/>
    <col min="6408" max="6408" width="26.54296875" style="1" bestFit="1" customWidth="1"/>
    <col min="6409" max="6409" width="22.6328125" style="1" bestFit="1" customWidth="1"/>
    <col min="6410" max="6410" width="33" style="1" bestFit="1" customWidth="1"/>
    <col min="6411" max="6411" width="26.54296875" style="1" customWidth="1"/>
    <col min="6412" max="6412" width="22.6328125" style="1" bestFit="1" customWidth="1"/>
    <col min="6413" max="6414" width="33" style="1" bestFit="1" customWidth="1"/>
    <col min="6415" max="6415" width="22.6328125" style="1" bestFit="1" customWidth="1"/>
    <col min="6416" max="6416" width="33" style="1" bestFit="1" customWidth="1"/>
    <col min="6417" max="6417" width="25.6328125" style="1" customWidth="1"/>
    <col min="6418" max="6419" width="16.6328125" style="1" customWidth="1"/>
    <col min="6420" max="6420" width="26.6328125" style="1" customWidth="1"/>
    <col min="6421" max="6660" width="9.08984375" style="1"/>
    <col min="6661" max="6661" width="71" style="1" customWidth="1"/>
    <col min="6662" max="6662" width="22.6328125" style="1" bestFit="1" customWidth="1"/>
    <col min="6663" max="6663" width="33" style="1" bestFit="1" customWidth="1"/>
    <col min="6664" max="6664" width="26.54296875" style="1" bestFit="1" customWidth="1"/>
    <col min="6665" max="6665" width="22.6328125" style="1" bestFit="1" customWidth="1"/>
    <col min="6666" max="6666" width="33" style="1" bestFit="1" customWidth="1"/>
    <col min="6667" max="6667" width="26.54296875" style="1" customWidth="1"/>
    <col min="6668" max="6668" width="22.6328125" style="1" bestFit="1" customWidth="1"/>
    <col min="6669" max="6670" width="33" style="1" bestFit="1" customWidth="1"/>
    <col min="6671" max="6671" width="22.6328125" style="1" bestFit="1" customWidth="1"/>
    <col min="6672" max="6672" width="33" style="1" bestFit="1" customWidth="1"/>
    <col min="6673" max="6673" width="25.6328125" style="1" customWidth="1"/>
    <col min="6674" max="6675" width="16.6328125" style="1" customWidth="1"/>
    <col min="6676" max="6676" width="26.6328125" style="1" customWidth="1"/>
    <col min="6677" max="6916" width="9.08984375" style="1"/>
    <col min="6917" max="6917" width="71" style="1" customWidth="1"/>
    <col min="6918" max="6918" width="22.6328125" style="1" bestFit="1" customWidth="1"/>
    <col min="6919" max="6919" width="33" style="1" bestFit="1" customWidth="1"/>
    <col min="6920" max="6920" width="26.54296875" style="1" bestFit="1" customWidth="1"/>
    <col min="6921" max="6921" width="22.6328125" style="1" bestFit="1" customWidth="1"/>
    <col min="6922" max="6922" width="33" style="1" bestFit="1" customWidth="1"/>
    <col min="6923" max="6923" width="26.54296875" style="1" customWidth="1"/>
    <col min="6924" max="6924" width="22.6328125" style="1" bestFit="1" customWidth="1"/>
    <col min="6925" max="6926" width="33" style="1" bestFit="1" customWidth="1"/>
    <col min="6927" max="6927" width="22.6328125" style="1" bestFit="1" customWidth="1"/>
    <col min="6928" max="6928" width="33" style="1" bestFit="1" customWidth="1"/>
    <col min="6929" max="6929" width="25.6328125" style="1" customWidth="1"/>
    <col min="6930" max="6931" width="16.6328125" style="1" customWidth="1"/>
    <col min="6932" max="6932" width="26.6328125" style="1" customWidth="1"/>
    <col min="6933" max="7172" width="9.08984375" style="1"/>
    <col min="7173" max="7173" width="71" style="1" customWidth="1"/>
    <col min="7174" max="7174" width="22.6328125" style="1" bestFit="1" customWidth="1"/>
    <col min="7175" max="7175" width="33" style="1" bestFit="1" customWidth="1"/>
    <col min="7176" max="7176" width="26.54296875" style="1" bestFit="1" customWidth="1"/>
    <col min="7177" max="7177" width="22.6328125" style="1" bestFit="1" customWidth="1"/>
    <col min="7178" max="7178" width="33" style="1" bestFit="1" customWidth="1"/>
    <col min="7179" max="7179" width="26.54296875" style="1" customWidth="1"/>
    <col min="7180" max="7180" width="22.6328125" style="1" bestFit="1" customWidth="1"/>
    <col min="7181" max="7182" width="33" style="1" bestFit="1" customWidth="1"/>
    <col min="7183" max="7183" width="22.6328125" style="1" bestFit="1" customWidth="1"/>
    <col min="7184" max="7184" width="33" style="1" bestFit="1" customWidth="1"/>
    <col min="7185" max="7185" width="25.6328125" style="1" customWidth="1"/>
    <col min="7186" max="7187" width="16.6328125" style="1" customWidth="1"/>
    <col min="7188" max="7188" width="26.6328125" style="1" customWidth="1"/>
    <col min="7189" max="7428" width="9.08984375" style="1"/>
    <col min="7429" max="7429" width="71" style="1" customWidth="1"/>
    <col min="7430" max="7430" width="22.6328125" style="1" bestFit="1" customWidth="1"/>
    <col min="7431" max="7431" width="33" style="1" bestFit="1" customWidth="1"/>
    <col min="7432" max="7432" width="26.54296875" style="1" bestFit="1" customWidth="1"/>
    <col min="7433" max="7433" width="22.6328125" style="1" bestFit="1" customWidth="1"/>
    <col min="7434" max="7434" width="33" style="1" bestFit="1" customWidth="1"/>
    <col min="7435" max="7435" width="26.54296875" style="1" customWidth="1"/>
    <col min="7436" max="7436" width="22.6328125" style="1" bestFit="1" customWidth="1"/>
    <col min="7437" max="7438" width="33" style="1" bestFit="1" customWidth="1"/>
    <col min="7439" max="7439" width="22.6328125" style="1" bestFit="1" customWidth="1"/>
    <col min="7440" max="7440" width="33" style="1" bestFit="1" customWidth="1"/>
    <col min="7441" max="7441" width="25.6328125" style="1" customWidth="1"/>
    <col min="7442" max="7443" width="16.6328125" style="1" customWidth="1"/>
    <col min="7444" max="7444" width="26.6328125" style="1" customWidth="1"/>
    <col min="7445" max="7684" width="9.08984375" style="1"/>
    <col min="7685" max="7685" width="71" style="1" customWidth="1"/>
    <col min="7686" max="7686" width="22.6328125" style="1" bestFit="1" customWidth="1"/>
    <col min="7687" max="7687" width="33" style="1" bestFit="1" customWidth="1"/>
    <col min="7688" max="7688" width="26.54296875" style="1" bestFit="1" customWidth="1"/>
    <col min="7689" max="7689" width="22.6328125" style="1" bestFit="1" customWidth="1"/>
    <col min="7690" max="7690" width="33" style="1" bestFit="1" customWidth="1"/>
    <col min="7691" max="7691" width="26.54296875" style="1" customWidth="1"/>
    <col min="7692" max="7692" width="22.6328125" style="1" bestFit="1" customWidth="1"/>
    <col min="7693" max="7694" width="33" style="1" bestFit="1" customWidth="1"/>
    <col min="7695" max="7695" width="22.6328125" style="1" bestFit="1" customWidth="1"/>
    <col min="7696" max="7696" width="33" style="1" bestFit="1" customWidth="1"/>
    <col min="7697" max="7697" width="25.6328125" style="1" customWidth="1"/>
    <col min="7698" max="7699" width="16.6328125" style="1" customWidth="1"/>
    <col min="7700" max="7700" width="26.6328125" style="1" customWidth="1"/>
    <col min="7701" max="7940" width="9.08984375" style="1"/>
    <col min="7941" max="7941" width="71" style="1" customWidth="1"/>
    <col min="7942" max="7942" width="22.6328125" style="1" bestFit="1" customWidth="1"/>
    <col min="7943" max="7943" width="33" style="1" bestFit="1" customWidth="1"/>
    <col min="7944" max="7944" width="26.54296875" style="1" bestFit="1" customWidth="1"/>
    <col min="7945" max="7945" width="22.6328125" style="1" bestFit="1" customWidth="1"/>
    <col min="7946" max="7946" width="33" style="1" bestFit="1" customWidth="1"/>
    <col min="7947" max="7947" width="26.54296875" style="1" customWidth="1"/>
    <col min="7948" max="7948" width="22.6328125" style="1" bestFit="1" customWidth="1"/>
    <col min="7949" max="7950" width="33" style="1" bestFit="1" customWidth="1"/>
    <col min="7951" max="7951" width="22.6328125" style="1" bestFit="1" customWidth="1"/>
    <col min="7952" max="7952" width="33" style="1" bestFit="1" customWidth="1"/>
    <col min="7953" max="7953" width="25.6328125" style="1" customWidth="1"/>
    <col min="7954" max="7955" width="16.6328125" style="1" customWidth="1"/>
    <col min="7956" max="7956" width="26.6328125" style="1" customWidth="1"/>
    <col min="7957" max="8196" width="9.08984375" style="1"/>
    <col min="8197" max="8197" width="71" style="1" customWidth="1"/>
    <col min="8198" max="8198" width="22.6328125" style="1" bestFit="1" customWidth="1"/>
    <col min="8199" max="8199" width="33" style="1" bestFit="1" customWidth="1"/>
    <col min="8200" max="8200" width="26.54296875" style="1" bestFit="1" customWidth="1"/>
    <col min="8201" max="8201" width="22.6328125" style="1" bestFit="1" customWidth="1"/>
    <col min="8202" max="8202" width="33" style="1" bestFit="1" customWidth="1"/>
    <col min="8203" max="8203" width="26.54296875" style="1" customWidth="1"/>
    <col min="8204" max="8204" width="22.6328125" style="1" bestFit="1" customWidth="1"/>
    <col min="8205" max="8206" width="33" style="1" bestFit="1" customWidth="1"/>
    <col min="8207" max="8207" width="22.6328125" style="1" bestFit="1" customWidth="1"/>
    <col min="8208" max="8208" width="33" style="1" bestFit="1" customWidth="1"/>
    <col min="8209" max="8209" width="25.6328125" style="1" customWidth="1"/>
    <col min="8210" max="8211" width="16.6328125" style="1" customWidth="1"/>
    <col min="8212" max="8212" width="26.6328125" style="1" customWidth="1"/>
    <col min="8213" max="8452" width="9.08984375" style="1"/>
    <col min="8453" max="8453" width="71" style="1" customWidth="1"/>
    <col min="8454" max="8454" width="22.6328125" style="1" bestFit="1" customWidth="1"/>
    <col min="8455" max="8455" width="33" style="1" bestFit="1" customWidth="1"/>
    <col min="8456" max="8456" width="26.54296875" style="1" bestFit="1" customWidth="1"/>
    <col min="8457" max="8457" width="22.6328125" style="1" bestFit="1" customWidth="1"/>
    <col min="8458" max="8458" width="33" style="1" bestFit="1" customWidth="1"/>
    <col min="8459" max="8459" width="26.54296875" style="1" customWidth="1"/>
    <col min="8460" max="8460" width="22.6328125" style="1" bestFit="1" customWidth="1"/>
    <col min="8461" max="8462" width="33" style="1" bestFit="1" customWidth="1"/>
    <col min="8463" max="8463" width="22.6328125" style="1" bestFit="1" customWidth="1"/>
    <col min="8464" max="8464" width="33" style="1" bestFit="1" customWidth="1"/>
    <col min="8465" max="8465" width="25.6328125" style="1" customWidth="1"/>
    <col min="8466" max="8467" width="16.6328125" style="1" customWidth="1"/>
    <col min="8468" max="8468" width="26.6328125" style="1" customWidth="1"/>
    <col min="8469" max="8708" width="9.08984375" style="1"/>
    <col min="8709" max="8709" width="71" style="1" customWidth="1"/>
    <col min="8710" max="8710" width="22.6328125" style="1" bestFit="1" customWidth="1"/>
    <col min="8711" max="8711" width="33" style="1" bestFit="1" customWidth="1"/>
    <col min="8712" max="8712" width="26.54296875" style="1" bestFit="1" customWidth="1"/>
    <col min="8713" max="8713" width="22.6328125" style="1" bestFit="1" customWidth="1"/>
    <col min="8714" max="8714" width="33" style="1" bestFit="1" customWidth="1"/>
    <col min="8715" max="8715" width="26.54296875" style="1" customWidth="1"/>
    <col min="8716" max="8716" width="22.6328125" style="1" bestFit="1" customWidth="1"/>
    <col min="8717" max="8718" width="33" style="1" bestFit="1" customWidth="1"/>
    <col min="8719" max="8719" width="22.6328125" style="1" bestFit="1" customWidth="1"/>
    <col min="8720" max="8720" width="33" style="1" bestFit="1" customWidth="1"/>
    <col min="8721" max="8721" width="25.6328125" style="1" customWidth="1"/>
    <col min="8722" max="8723" width="16.6328125" style="1" customWidth="1"/>
    <col min="8724" max="8724" width="26.6328125" style="1" customWidth="1"/>
    <col min="8725" max="8964" width="9.08984375" style="1"/>
    <col min="8965" max="8965" width="71" style="1" customWidth="1"/>
    <col min="8966" max="8966" width="22.6328125" style="1" bestFit="1" customWidth="1"/>
    <col min="8967" max="8967" width="33" style="1" bestFit="1" customWidth="1"/>
    <col min="8968" max="8968" width="26.54296875" style="1" bestFit="1" customWidth="1"/>
    <col min="8969" max="8969" width="22.6328125" style="1" bestFit="1" customWidth="1"/>
    <col min="8970" max="8970" width="33" style="1" bestFit="1" customWidth="1"/>
    <col min="8971" max="8971" width="26.54296875" style="1" customWidth="1"/>
    <col min="8972" max="8972" width="22.6328125" style="1" bestFit="1" customWidth="1"/>
    <col min="8973" max="8974" width="33" style="1" bestFit="1" customWidth="1"/>
    <col min="8975" max="8975" width="22.6328125" style="1" bestFit="1" customWidth="1"/>
    <col min="8976" max="8976" width="33" style="1" bestFit="1" customWidth="1"/>
    <col min="8977" max="8977" width="25.6328125" style="1" customWidth="1"/>
    <col min="8978" max="8979" width="16.6328125" style="1" customWidth="1"/>
    <col min="8980" max="8980" width="26.6328125" style="1" customWidth="1"/>
    <col min="8981" max="9220" width="9.08984375" style="1"/>
    <col min="9221" max="9221" width="71" style="1" customWidth="1"/>
    <col min="9222" max="9222" width="22.6328125" style="1" bestFit="1" customWidth="1"/>
    <col min="9223" max="9223" width="33" style="1" bestFit="1" customWidth="1"/>
    <col min="9224" max="9224" width="26.54296875" style="1" bestFit="1" customWidth="1"/>
    <col min="9225" max="9225" width="22.6328125" style="1" bestFit="1" customWidth="1"/>
    <col min="9226" max="9226" width="33" style="1" bestFit="1" customWidth="1"/>
    <col min="9227" max="9227" width="26.54296875" style="1" customWidth="1"/>
    <col min="9228" max="9228" width="22.6328125" style="1" bestFit="1" customWidth="1"/>
    <col min="9229" max="9230" width="33" style="1" bestFit="1" customWidth="1"/>
    <col min="9231" max="9231" width="22.6328125" style="1" bestFit="1" customWidth="1"/>
    <col min="9232" max="9232" width="33" style="1" bestFit="1" customWidth="1"/>
    <col min="9233" max="9233" width="25.6328125" style="1" customWidth="1"/>
    <col min="9234" max="9235" width="16.6328125" style="1" customWidth="1"/>
    <col min="9236" max="9236" width="26.6328125" style="1" customWidth="1"/>
    <col min="9237" max="9476" width="9.08984375" style="1"/>
    <col min="9477" max="9477" width="71" style="1" customWidth="1"/>
    <col min="9478" max="9478" width="22.6328125" style="1" bestFit="1" customWidth="1"/>
    <col min="9479" max="9479" width="33" style="1" bestFit="1" customWidth="1"/>
    <col min="9480" max="9480" width="26.54296875" style="1" bestFit="1" customWidth="1"/>
    <col min="9481" max="9481" width="22.6328125" style="1" bestFit="1" customWidth="1"/>
    <col min="9482" max="9482" width="33" style="1" bestFit="1" customWidth="1"/>
    <col min="9483" max="9483" width="26.54296875" style="1" customWidth="1"/>
    <col min="9484" max="9484" width="22.6328125" style="1" bestFit="1" customWidth="1"/>
    <col min="9485" max="9486" width="33" style="1" bestFit="1" customWidth="1"/>
    <col min="9487" max="9487" width="22.6328125" style="1" bestFit="1" customWidth="1"/>
    <col min="9488" max="9488" width="33" style="1" bestFit="1" customWidth="1"/>
    <col min="9489" max="9489" width="25.6328125" style="1" customWidth="1"/>
    <col min="9490" max="9491" width="16.6328125" style="1" customWidth="1"/>
    <col min="9492" max="9492" width="26.6328125" style="1" customWidth="1"/>
    <col min="9493" max="9732" width="9.08984375" style="1"/>
    <col min="9733" max="9733" width="71" style="1" customWidth="1"/>
    <col min="9734" max="9734" width="22.6328125" style="1" bestFit="1" customWidth="1"/>
    <col min="9735" max="9735" width="33" style="1" bestFit="1" customWidth="1"/>
    <col min="9736" max="9736" width="26.54296875" style="1" bestFit="1" customWidth="1"/>
    <col min="9737" max="9737" width="22.6328125" style="1" bestFit="1" customWidth="1"/>
    <col min="9738" max="9738" width="33" style="1" bestFit="1" customWidth="1"/>
    <col min="9739" max="9739" width="26.54296875" style="1" customWidth="1"/>
    <col min="9740" max="9740" width="22.6328125" style="1" bestFit="1" customWidth="1"/>
    <col min="9741" max="9742" width="33" style="1" bestFit="1" customWidth="1"/>
    <col min="9743" max="9743" width="22.6328125" style="1" bestFit="1" customWidth="1"/>
    <col min="9744" max="9744" width="33" style="1" bestFit="1" customWidth="1"/>
    <col min="9745" max="9745" width="25.6328125" style="1" customWidth="1"/>
    <col min="9746" max="9747" width="16.6328125" style="1" customWidth="1"/>
    <col min="9748" max="9748" width="26.6328125" style="1" customWidth="1"/>
    <col min="9749" max="9988" width="9.08984375" style="1"/>
    <col min="9989" max="9989" width="71" style="1" customWidth="1"/>
    <col min="9990" max="9990" width="22.6328125" style="1" bestFit="1" customWidth="1"/>
    <col min="9991" max="9991" width="33" style="1" bestFit="1" customWidth="1"/>
    <col min="9992" max="9992" width="26.54296875" style="1" bestFit="1" customWidth="1"/>
    <col min="9993" max="9993" width="22.6328125" style="1" bestFit="1" customWidth="1"/>
    <col min="9994" max="9994" width="33" style="1" bestFit="1" customWidth="1"/>
    <col min="9995" max="9995" width="26.54296875" style="1" customWidth="1"/>
    <col min="9996" max="9996" width="22.6328125" style="1" bestFit="1" customWidth="1"/>
    <col min="9997" max="9998" width="33" style="1" bestFit="1" customWidth="1"/>
    <col min="9999" max="9999" width="22.6328125" style="1" bestFit="1" customWidth="1"/>
    <col min="10000" max="10000" width="33" style="1" bestFit="1" customWidth="1"/>
    <col min="10001" max="10001" width="25.6328125" style="1" customWidth="1"/>
    <col min="10002" max="10003" width="16.6328125" style="1" customWidth="1"/>
    <col min="10004" max="10004" width="26.6328125" style="1" customWidth="1"/>
    <col min="10005" max="10244" width="9.08984375" style="1"/>
    <col min="10245" max="10245" width="71" style="1" customWidth="1"/>
    <col min="10246" max="10246" width="22.6328125" style="1" bestFit="1" customWidth="1"/>
    <col min="10247" max="10247" width="33" style="1" bestFit="1" customWidth="1"/>
    <col min="10248" max="10248" width="26.54296875" style="1" bestFit="1" customWidth="1"/>
    <col min="10249" max="10249" width="22.6328125" style="1" bestFit="1" customWidth="1"/>
    <col min="10250" max="10250" width="33" style="1" bestFit="1" customWidth="1"/>
    <col min="10251" max="10251" width="26.54296875" style="1" customWidth="1"/>
    <col min="10252" max="10252" width="22.6328125" style="1" bestFit="1" customWidth="1"/>
    <col min="10253" max="10254" width="33" style="1" bestFit="1" customWidth="1"/>
    <col min="10255" max="10255" width="22.6328125" style="1" bestFit="1" customWidth="1"/>
    <col min="10256" max="10256" width="33" style="1" bestFit="1" customWidth="1"/>
    <col min="10257" max="10257" width="25.6328125" style="1" customWidth="1"/>
    <col min="10258" max="10259" width="16.6328125" style="1" customWidth="1"/>
    <col min="10260" max="10260" width="26.6328125" style="1" customWidth="1"/>
    <col min="10261" max="10500" width="9.08984375" style="1"/>
    <col min="10501" max="10501" width="71" style="1" customWidth="1"/>
    <col min="10502" max="10502" width="22.6328125" style="1" bestFit="1" customWidth="1"/>
    <col min="10503" max="10503" width="33" style="1" bestFit="1" customWidth="1"/>
    <col min="10504" max="10504" width="26.54296875" style="1" bestFit="1" customWidth="1"/>
    <col min="10505" max="10505" width="22.6328125" style="1" bestFit="1" customWidth="1"/>
    <col min="10506" max="10506" width="33" style="1" bestFit="1" customWidth="1"/>
    <col min="10507" max="10507" width="26.54296875" style="1" customWidth="1"/>
    <col min="10508" max="10508" width="22.6328125" style="1" bestFit="1" customWidth="1"/>
    <col min="10509" max="10510" width="33" style="1" bestFit="1" customWidth="1"/>
    <col min="10511" max="10511" width="22.6328125" style="1" bestFit="1" customWidth="1"/>
    <col min="10512" max="10512" width="33" style="1" bestFit="1" customWidth="1"/>
    <col min="10513" max="10513" width="25.6328125" style="1" customWidth="1"/>
    <col min="10514" max="10515" width="16.6328125" style="1" customWidth="1"/>
    <col min="10516" max="10516" width="26.6328125" style="1" customWidth="1"/>
    <col min="10517" max="10756" width="9.08984375" style="1"/>
    <col min="10757" max="10757" width="71" style="1" customWidth="1"/>
    <col min="10758" max="10758" width="22.6328125" style="1" bestFit="1" customWidth="1"/>
    <col min="10759" max="10759" width="33" style="1" bestFit="1" customWidth="1"/>
    <col min="10760" max="10760" width="26.54296875" style="1" bestFit="1" customWidth="1"/>
    <col min="10761" max="10761" width="22.6328125" style="1" bestFit="1" customWidth="1"/>
    <col min="10762" max="10762" width="33" style="1" bestFit="1" customWidth="1"/>
    <col min="10763" max="10763" width="26.54296875" style="1" customWidth="1"/>
    <col min="10764" max="10764" width="22.6328125" style="1" bestFit="1" customWidth="1"/>
    <col min="10765" max="10766" width="33" style="1" bestFit="1" customWidth="1"/>
    <col min="10767" max="10767" width="22.6328125" style="1" bestFit="1" customWidth="1"/>
    <col min="10768" max="10768" width="33" style="1" bestFit="1" customWidth="1"/>
    <col min="10769" max="10769" width="25.6328125" style="1" customWidth="1"/>
    <col min="10770" max="10771" width="16.6328125" style="1" customWidth="1"/>
    <col min="10772" max="10772" width="26.6328125" style="1" customWidth="1"/>
    <col min="10773" max="11012" width="9.08984375" style="1"/>
    <col min="11013" max="11013" width="71" style="1" customWidth="1"/>
    <col min="11014" max="11014" width="22.6328125" style="1" bestFit="1" customWidth="1"/>
    <col min="11015" max="11015" width="33" style="1" bestFit="1" customWidth="1"/>
    <col min="11016" max="11016" width="26.54296875" style="1" bestFit="1" customWidth="1"/>
    <col min="11017" max="11017" width="22.6328125" style="1" bestFit="1" customWidth="1"/>
    <col min="11018" max="11018" width="33" style="1" bestFit="1" customWidth="1"/>
    <col min="11019" max="11019" width="26.54296875" style="1" customWidth="1"/>
    <col min="11020" max="11020" width="22.6328125" style="1" bestFit="1" customWidth="1"/>
    <col min="11021" max="11022" width="33" style="1" bestFit="1" customWidth="1"/>
    <col min="11023" max="11023" width="22.6328125" style="1" bestFit="1" customWidth="1"/>
    <col min="11024" max="11024" width="33" style="1" bestFit="1" customWidth="1"/>
    <col min="11025" max="11025" width="25.6328125" style="1" customWidth="1"/>
    <col min="11026" max="11027" width="16.6328125" style="1" customWidth="1"/>
    <col min="11028" max="11028" width="26.6328125" style="1" customWidth="1"/>
    <col min="11029" max="11268" width="9.08984375" style="1"/>
    <col min="11269" max="11269" width="71" style="1" customWidth="1"/>
    <col min="11270" max="11270" width="22.6328125" style="1" bestFit="1" customWidth="1"/>
    <col min="11271" max="11271" width="33" style="1" bestFit="1" customWidth="1"/>
    <col min="11272" max="11272" width="26.54296875" style="1" bestFit="1" customWidth="1"/>
    <col min="11273" max="11273" width="22.6328125" style="1" bestFit="1" customWidth="1"/>
    <col min="11274" max="11274" width="33" style="1" bestFit="1" customWidth="1"/>
    <col min="11275" max="11275" width="26.54296875" style="1" customWidth="1"/>
    <col min="11276" max="11276" width="22.6328125" style="1" bestFit="1" customWidth="1"/>
    <col min="11277" max="11278" width="33" style="1" bestFit="1" customWidth="1"/>
    <col min="11279" max="11279" width="22.6328125" style="1" bestFit="1" customWidth="1"/>
    <col min="11280" max="11280" width="33" style="1" bestFit="1" customWidth="1"/>
    <col min="11281" max="11281" width="25.6328125" style="1" customWidth="1"/>
    <col min="11282" max="11283" width="16.6328125" style="1" customWidth="1"/>
    <col min="11284" max="11284" width="26.6328125" style="1" customWidth="1"/>
    <col min="11285" max="11524" width="9.08984375" style="1"/>
    <col min="11525" max="11525" width="71" style="1" customWidth="1"/>
    <col min="11526" max="11526" width="22.6328125" style="1" bestFit="1" customWidth="1"/>
    <col min="11527" max="11527" width="33" style="1" bestFit="1" customWidth="1"/>
    <col min="11528" max="11528" width="26.54296875" style="1" bestFit="1" customWidth="1"/>
    <col min="11529" max="11529" width="22.6328125" style="1" bestFit="1" customWidth="1"/>
    <col min="11530" max="11530" width="33" style="1" bestFit="1" customWidth="1"/>
    <col min="11531" max="11531" width="26.54296875" style="1" customWidth="1"/>
    <col min="11532" max="11532" width="22.6328125" style="1" bestFit="1" customWidth="1"/>
    <col min="11533" max="11534" width="33" style="1" bestFit="1" customWidth="1"/>
    <col min="11535" max="11535" width="22.6328125" style="1" bestFit="1" customWidth="1"/>
    <col min="11536" max="11536" width="33" style="1" bestFit="1" customWidth="1"/>
    <col min="11537" max="11537" width="25.6328125" style="1" customWidth="1"/>
    <col min="11538" max="11539" width="16.6328125" style="1" customWidth="1"/>
    <col min="11540" max="11540" width="26.6328125" style="1" customWidth="1"/>
    <col min="11541" max="11780" width="9.08984375" style="1"/>
    <col min="11781" max="11781" width="71" style="1" customWidth="1"/>
    <col min="11782" max="11782" width="22.6328125" style="1" bestFit="1" customWidth="1"/>
    <col min="11783" max="11783" width="33" style="1" bestFit="1" customWidth="1"/>
    <col min="11784" max="11784" width="26.54296875" style="1" bestFit="1" customWidth="1"/>
    <col min="11785" max="11785" width="22.6328125" style="1" bestFit="1" customWidth="1"/>
    <col min="11786" max="11786" width="33" style="1" bestFit="1" customWidth="1"/>
    <col min="11787" max="11787" width="26.54296875" style="1" customWidth="1"/>
    <col min="11788" max="11788" width="22.6328125" style="1" bestFit="1" customWidth="1"/>
    <col min="11789" max="11790" width="33" style="1" bestFit="1" customWidth="1"/>
    <col min="11791" max="11791" width="22.6328125" style="1" bestFit="1" customWidth="1"/>
    <col min="11792" max="11792" width="33" style="1" bestFit="1" customWidth="1"/>
    <col min="11793" max="11793" width="25.6328125" style="1" customWidth="1"/>
    <col min="11794" max="11795" width="16.6328125" style="1" customWidth="1"/>
    <col min="11796" max="11796" width="26.6328125" style="1" customWidth="1"/>
    <col min="11797" max="12036" width="9.08984375" style="1"/>
    <col min="12037" max="12037" width="71" style="1" customWidth="1"/>
    <col min="12038" max="12038" width="22.6328125" style="1" bestFit="1" customWidth="1"/>
    <col min="12039" max="12039" width="33" style="1" bestFit="1" customWidth="1"/>
    <col min="12040" max="12040" width="26.54296875" style="1" bestFit="1" customWidth="1"/>
    <col min="12041" max="12041" width="22.6328125" style="1" bestFit="1" customWidth="1"/>
    <col min="12042" max="12042" width="33" style="1" bestFit="1" customWidth="1"/>
    <col min="12043" max="12043" width="26.54296875" style="1" customWidth="1"/>
    <col min="12044" max="12044" width="22.6328125" style="1" bestFit="1" customWidth="1"/>
    <col min="12045" max="12046" width="33" style="1" bestFit="1" customWidth="1"/>
    <col min="12047" max="12047" width="22.6328125" style="1" bestFit="1" customWidth="1"/>
    <col min="12048" max="12048" width="33" style="1" bestFit="1" customWidth="1"/>
    <col min="12049" max="12049" width="25.6328125" style="1" customWidth="1"/>
    <col min="12050" max="12051" width="16.6328125" style="1" customWidth="1"/>
    <col min="12052" max="12052" width="26.6328125" style="1" customWidth="1"/>
    <col min="12053" max="12292" width="9.08984375" style="1"/>
    <col min="12293" max="12293" width="71" style="1" customWidth="1"/>
    <col min="12294" max="12294" width="22.6328125" style="1" bestFit="1" customWidth="1"/>
    <col min="12295" max="12295" width="33" style="1" bestFit="1" customWidth="1"/>
    <col min="12296" max="12296" width="26.54296875" style="1" bestFit="1" customWidth="1"/>
    <col min="12297" max="12297" width="22.6328125" style="1" bestFit="1" customWidth="1"/>
    <col min="12298" max="12298" width="33" style="1" bestFit="1" customWidth="1"/>
    <col min="12299" max="12299" width="26.54296875" style="1" customWidth="1"/>
    <col min="12300" max="12300" width="22.6328125" style="1" bestFit="1" customWidth="1"/>
    <col min="12301" max="12302" width="33" style="1" bestFit="1" customWidth="1"/>
    <col min="12303" max="12303" width="22.6328125" style="1" bestFit="1" customWidth="1"/>
    <col min="12304" max="12304" width="33" style="1" bestFit="1" customWidth="1"/>
    <col min="12305" max="12305" width="25.6328125" style="1" customWidth="1"/>
    <col min="12306" max="12307" width="16.6328125" style="1" customWidth="1"/>
    <col min="12308" max="12308" width="26.6328125" style="1" customWidth="1"/>
    <col min="12309" max="12548" width="9.08984375" style="1"/>
    <col min="12549" max="12549" width="71" style="1" customWidth="1"/>
    <col min="12550" max="12550" width="22.6328125" style="1" bestFit="1" customWidth="1"/>
    <col min="12551" max="12551" width="33" style="1" bestFit="1" customWidth="1"/>
    <col min="12552" max="12552" width="26.54296875" style="1" bestFit="1" customWidth="1"/>
    <col min="12553" max="12553" width="22.6328125" style="1" bestFit="1" customWidth="1"/>
    <col min="12554" max="12554" width="33" style="1" bestFit="1" customWidth="1"/>
    <col min="12555" max="12555" width="26.54296875" style="1" customWidth="1"/>
    <col min="12556" max="12556" width="22.6328125" style="1" bestFit="1" customWidth="1"/>
    <col min="12557" max="12558" width="33" style="1" bestFit="1" customWidth="1"/>
    <col min="12559" max="12559" width="22.6328125" style="1" bestFit="1" customWidth="1"/>
    <col min="12560" max="12560" width="33" style="1" bestFit="1" customWidth="1"/>
    <col min="12561" max="12561" width="25.6328125" style="1" customWidth="1"/>
    <col min="12562" max="12563" width="16.6328125" style="1" customWidth="1"/>
    <col min="12564" max="12564" width="26.6328125" style="1" customWidth="1"/>
    <col min="12565" max="12804" width="9.08984375" style="1"/>
    <col min="12805" max="12805" width="71" style="1" customWidth="1"/>
    <col min="12806" max="12806" width="22.6328125" style="1" bestFit="1" customWidth="1"/>
    <col min="12807" max="12807" width="33" style="1" bestFit="1" customWidth="1"/>
    <col min="12808" max="12808" width="26.54296875" style="1" bestFit="1" customWidth="1"/>
    <col min="12809" max="12809" width="22.6328125" style="1" bestFit="1" customWidth="1"/>
    <col min="12810" max="12810" width="33" style="1" bestFit="1" customWidth="1"/>
    <col min="12811" max="12811" width="26.54296875" style="1" customWidth="1"/>
    <col min="12812" max="12812" width="22.6328125" style="1" bestFit="1" customWidth="1"/>
    <col min="12813" max="12814" width="33" style="1" bestFit="1" customWidth="1"/>
    <col min="12815" max="12815" width="22.6328125" style="1" bestFit="1" customWidth="1"/>
    <col min="12816" max="12816" width="33" style="1" bestFit="1" customWidth="1"/>
    <col min="12817" max="12817" width="25.6328125" style="1" customWidth="1"/>
    <col min="12818" max="12819" width="16.6328125" style="1" customWidth="1"/>
    <col min="12820" max="12820" width="26.6328125" style="1" customWidth="1"/>
    <col min="12821" max="13060" width="9.08984375" style="1"/>
    <col min="13061" max="13061" width="71" style="1" customWidth="1"/>
    <col min="13062" max="13062" width="22.6328125" style="1" bestFit="1" customWidth="1"/>
    <col min="13063" max="13063" width="33" style="1" bestFit="1" customWidth="1"/>
    <col min="13064" max="13064" width="26.54296875" style="1" bestFit="1" customWidth="1"/>
    <col min="13065" max="13065" width="22.6328125" style="1" bestFit="1" customWidth="1"/>
    <col min="13066" max="13066" width="33" style="1" bestFit="1" customWidth="1"/>
    <col min="13067" max="13067" width="26.54296875" style="1" customWidth="1"/>
    <col min="13068" max="13068" width="22.6328125" style="1" bestFit="1" customWidth="1"/>
    <col min="13069" max="13070" width="33" style="1" bestFit="1" customWidth="1"/>
    <col min="13071" max="13071" width="22.6328125" style="1" bestFit="1" customWidth="1"/>
    <col min="13072" max="13072" width="33" style="1" bestFit="1" customWidth="1"/>
    <col min="13073" max="13073" width="25.6328125" style="1" customWidth="1"/>
    <col min="13074" max="13075" width="16.6328125" style="1" customWidth="1"/>
    <col min="13076" max="13076" width="26.6328125" style="1" customWidth="1"/>
    <col min="13077" max="13316" width="9.08984375" style="1"/>
    <col min="13317" max="13317" width="71" style="1" customWidth="1"/>
    <col min="13318" max="13318" width="22.6328125" style="1" bestFit="1" customWidth="1"/>
    <col min="13319" max="13319" width="33" style="1" bestFit="1" customWidth="1"/>
    <col min="13320" max="13320" width="26.54296875" style="1" bestFit="1" customWidth="1"/>
    <col min="13321" max="13321" width="22.6328125" style="1" bestFit="1" customWidth="1"/>
    <col min="13322" max="13322" width="33" style="1" bestFit="1" customWidth="1"/>
    <col min="13323" max="13323" width="26.54296875" style="1" customWidth="1"/>
    <col min="13324" max="13324" width="22.6328125" style="1" bestFit="1" customWidth="1"/>
    <col min="13325" max="13326" width="33" style="1" bestFit="1" customWidth="1"/>
    <col min="13327" max="13327" width="22.6328125" style="1" bestFit="1" customWidth="1"/>
    <col min="13328" max="13328" width="33" style="1" bestFit="1" customWidth="1"/>
    <col min="13329" max="13329" width="25.6328125" style="1" customWidth="1"/>
    <col min="13330" max="13331" width="16.6328125" style="1" customWidth="1"/>
    <col min="13332" max="13332" width="26.6328125" style="1" customWidth="1"/>
    <col min="13333" max="13572" width="9.08984375" style="1"/>
    <col min="13573" max="13573" width="71" style="1" customWidth="1"/>
    <col min="13574" max="13574" width="22.6328125" style="1" bestFit="1" customWidth="1"/>
    <col min="13575" max="13575" width="33" style="1" bestFit="1" customWidth="1"/>
    <col min="13576" max="13576" width="26.54296875" style="1" bestFit="1" customWidth="1"/>
    <col min="13577" max="13577" width="22.6328125" style="1" bestFit="1" customWidth="1"/>
    <col min="13578" max="13578" width="33" style="1" bestFit="1" customWidth="1"/>
    <col min="13579" max="13579" width="26.54296875" style="1" customWidth="1"/>
    <col min="13580" max="13580" width="22.6328125" style="1" bestFit="1" customWidth="1"/>
    <col min="13581" max="13582" width="33" style="1" bestFit="1" customWidth="1"/>
    <col min="13583" max="13583" width="22.6328125" style="1" bestFit="1" customWidth="1"/>
    <col min="13584" max="13584" width="33" style="1" bestFit="1" customWidth="1"/>
    <col min="13585" max="13585" width="25.6328125" style="1" customWidth="1"/>
    <col min="13586" max="13587" width="16.6328125" style="1" customWidth="1"/>
    <col min="13588" max="13588" width="26.6328125" style="1" customWidth="1"/>
    <col min="13589" max="13828" width="9.08984375" style="1"/>
    <col min="13829" max="13829" width="71" style="1" customWidth="1"/>
    <col min="13830" max="13830" width="22.6328125" style="1" bestFit="1" customWidth="1"/>
    <col min="13831" max="13831" width="33" style="1" bestFit="1" customWidth="1"/>
    <col min="13832" max="13832" width="26.54296875" style="1" bestFit="1" customWidth="1"/>
    <col min="13833" max="13833" width="22.6328125" style="1" bestFit="1" customWidth="1"/>
    <col min="13834" max="13834" width="33" style="1" bestFit="1" customWidth="1"/>
    <col min="13835" max="13835" width="26.54296875" style="1" customWidth="1"/>
    <col min="13836" max="13836" width="22.6328125" style="1" bestFit="1" customWidth="1"/>
    <col min="13837" max="13838" width="33" style="1" bestFit="1" customWidth="1"/>
    <col min="13839" max="13839" width="22.6328125" style="1" bestFit="1" customWidth="1"/>
    <col min="13840" max="13840" width="33" style="1" bestFit="1" customWidth="1"/>
    <col min="13841" max="13841" width="25.6328125" style="1" customWidth="1"/>
    <col min="13842" max="13843" width="16.6328125" style="1" customWidth="1"/>
    <col min="13844" max="13844" width="26.6328125" style="1" customWidth="1"/>
    <col min="13845" max="14084" width="9.08984375" style="1"/>
    <col min="14085" max="14085" width="71" style="1" customWidth="1"/>
    <col min="14086" max="14086" width="22.6328125" style="1" bestFit="1" customWidth="1"/>
    <col min="14087" max="14087" width="33" style="1" bestFit="1" customWidth="1"/>
    <col min="14088" max="14088" width="26.54296875" style="1" bestFit="1" customWidth="1"/>
    <col min="14089" max="14089" width="22.6328125" style="1" bestFit="1" customWidth="1"/>
    <col min="14090" max="14090" width="33" style="1" bestFit="1" customWidth="1"/>
    <col min="14091" max="14091" width="26.54296875" style="1" customWidth="1"/>
    <col min="14092" max="14092" width="22.6328125" style="1" bestFit="1" customWidth="1"/>
    <col min="14093" max="14094" width="33" style="1" bestFit="1" customWidth="1"/>
    <col min="14095" max="14095" width="22.6328125" style="1" bestFit="1" customWidth="1"/>
    <col min="14096" max="14096" width="33" style="1" bestFit="1" customWidth="1"/>
    <col min="14097" max="14097" width="25.6328125" style="1" customWidth="1"/>
    <col min="14098" max="14099" width="16.6328125" style="1" customWidth="1"/>
    <col min="14100" max="14100" width="26.6328125" style="1" customWidth="1"/>
    <col min="14101" max="14340" width="9.08984375" style="1"/>
    <col min="14341" max="14341" width="71" style="1" customWidth="1"/>
    <col min="14342" max="14342" width="22.6328125" style="1" bestFit="1" customWidth="1"/>
    <col min="14343" max="14343" width="33" style="1" bestFit="1" customWidth="1"/>
    <col min="14344" max="14344" width="26.54296875" style="1" bestFit="1" customWidth="1"/>
    <col min="14345" max="14345" width="22.6328125" style="1" bestFit="1" customWidth="1"/>
    <col min="14346" max="14346" width="33" style="1" bestFit="1" customWidth="1"/>
    <col min="14347" max="14347" width="26.54296875" style="1" customWidth="1"/>
    <col min="14348" max="14348" width="22.6328125" style="1" bestFit="1" customWidth="1"/>
    <col min="14349" max="14350" width="33" style="1" bestFit="1" customWidth="1"/>
    <col min="14351" max="14351" width="22.6328125" style="1" bestFit="1" customWidth="1"/>
    <col min="14352" max="14352" width="33" style="1" bestFit="1" customWidth="1"/>
    <col min="14353" max="14353" width="25.6328125" style="1" customWidth="1"/>
    <col min="14354" max="14355" width="16.6328125" style="1" customWidth="1"/>
    <col min="14356" max="14356" width="26.6328125" style="1" customWidth="1"/>
    <col min="14357" max="14596" width="9.08984375" style="1"/>
    <col min="14597" max="14597" width="71" style="1" customWidth="1"/>
    <col min="14598" max="14598" width="22.6328125" style="1" bestFit="1" customWidth="1"/>
    <col min="14599" max="14599" width="33" style="1" bestFit="1" customWidth="1"/>
    <col min="14600" max="14600" width="26.54296875" style="1" bestFit="1" customWidth="1"/>
    <col min="14601" max="14601" width="22.6328125" style="1" bestFit="1" customWidth="1"/>
    <col min="14602" max="14602" width="33" style="1" bestFit="1" customWidth="1"/>
    <col min="14603" max="14603" width="26.54296875" style="1" customWidth="1"/>
    <col min="14604" max="14604" width="22.6328125" style="1" bestFit="1" customWidth="1"/>
    <col min="14605" max="14606" width="33" style="1" bestFit="1" customWidth="1"/>
    <col min="14607" max="14607" width="22.6328125" style="1" bestFit="1" customWidth="1"/>
    <col min="14608" max="14608" width="33" style="1" bestFit="1" customWidth="1"/>
    <col min="14609" max="14609" width="25.6328125" style="1" customWidth="1"/>
    <col min="14610" max="14611" width="16.6328125" style="1" customWidth="1"/>
    <col min="14612" max="14612" width="26.6328125" style="1" customWidth="1"/>
    <col min="14613" max="14852" width="9.08984375" style="1"/>
    <col min="14853" max="14853" width="71" style="1" customWidth="1"/>
    <col min="14854" max="14854" width="22.6328125" style="1" bestFit="1" customWidth="1"/>
    <col min="14855" max="14855" width="33" style="1" bestFit="1" customWidth="1"/>
    <col min="14856" max="14856" width="26.54296875" style="1" bestFit="1" customWidth="1"/>
    <col min="14857" max="14857" width="22.6328125" style="1" bestFit="1" customWidth="1"/>
    <col min="14858" max="14858" width="33" style="1" bestFit="1" customWidth="1"/>
    <col min="14859" max="14859" width="26.54296875" style="1" customWidth="1"/>
    <col min="14860" max="14860" width="22.6328125" style="1" bestFit="1" customWidth="1"/>
    <col min="14861" max="14862" width="33" style="1" bestFit="1" customWidth="1"/>
    <col min="14863" max="14863" width="22.6328125" style="1" bestFit="1" customWidth="1"/>
    <col min="14864" max="14864" width="33" style="1" bestFit="1" customWidth="1"/>
    <col min="14865" max="14865" width="25.6328125" style="1" customWidth="1"/>
    <col min="14866" max="14867" width="16.6328125" style="1" customWidth="1"/>
    <col min="14868" max="14868" width="26.6328125" style="1" customWidth="1"/>
    <col min="14869" max="15108" width="9.08984375" style="1"/>
    <col min="15109" max="15109" width="71" style="1" customWidth="1"/>
    <col min="15110" max="15110" width="22.6328125" style="1" bestFit="1" customWidth="1"/>
    <col min="15111" max="15111" width="33" style="1" bestFit="1" customWidth="1"/>
    <col min="15112" max="15112" width="26.54296875" style="1" bestFit="1" customWidth="1"/>
    <col min="15113" max="15113" width="22.6328125" style="1" bestFit="1" customWidth="1"/>
    <col min="15114" max="15114" width="33" style="1" bestFit="1" customWidth="1"/>
    <col min="15115" max="15115" width="26.54296875" style="1" customWidth="1"/>
    <col min="15116" max="15116" width="22.6328125" style="1" bestFit="1" customWidth="1"/>
    <col min="15117" max="15118" width="33" style="1" bestFit="1" customWidth="1"/>
    <col min="15119" max="15119" width="22.6328125" style="1" bestFit="1" customWidth="1"/>
    <col min="15120" max="15120" width="33" style="1" bestFit="1" customWidth="1"/>
    <col min="15121" max="15121" width="25.6328125" style="1" customWidth="1"/>
    <col min="15122" max="15123" width="16.6328125" style="1" customWidth="1"/>
    <col min="15124" max="15124" width="26.6328125" style="1" customWidth="1"/>
    <col min="15125" max="15364" width="9.08984375" style="1"/>
    <col min="15365" max="15365" width="71" style="1" customWidth="1"/>
    <col min="15366" max="15366" width="22.6328125" style="1" bestFit="1" customWidth="1"/>
    <col min="15367" max="15367" width="33" style="1" bestFit="1" customWidth="1"/>
    <col min="15368" max="15368" width="26.54296875" style="1" bestFit="1" customWidth="1"/>
    <col min="15369" max="15369" width="22.6328125" style="1" bestFit="1" customWidth="1"/>
    <col min="15370" max="15370" width="33" style="1" bestFit="1" customWidth="1"/>
    <col min="15371" max="15371" width="26.54296875" style="1" customWidth="1"/>
    <col min="15372" max="15372" width="22.6328125" style="1" bestFit="1" customWidth="1"/>
    <col min="15373" max="15374" width="33" style="1" bestFit="1" customWidth="1"/>
    <col min="15375" max="15375" width="22.6328125" style="1" bestFit="1" customWidth="1"/>
    <col min="15376" max="15376" width="33" style="1" bestFit="1" customWidth="1"/>
    <col min="15377" max="15377" width="25.6328125" style="1" customWidth="1"/>
    <col min="15378" max="15379" width="16.6328125" style="1" customWidth="1"/>
    <col min="15380" max="15380" width="26.6328125" style="1" customWidth="1"/>
    <col min="15381" max="15620" width="9.08984375" style="1"/>
    <col min="15621" max="15621" width="71" style="1" customWidth="1"/>
    <col min="15622" max="15622" width="22.6328125" style="1" bestFit="1" customWidth="1"/>
    <col min="15623" max="15623" width="33" style="1" bestFit="1" customWidth="1"/>
    <col min="15624" max="15624" width="26.54296875" style="1" bestFit="1" customWidth="1"/>
    <col min="15625" max="15625" width="22.6328125" style="1" bestFit="1" customWidth="1"/>
    <col min="15626" max="15626" width="33" style="1" bestFit="1" customWidth="1"/>
    <col min="15627" max="15627" width="26.54296875" style="1" customWidth="1"/>
    <col min="15628" max="15628" width="22.6328125" style="1" bestFit="1" customWidth="1"/>
    <col min="15629" max="15630" width="33" style="1" bestFit="1" customWidth="1"/>
    <col min="15631" max="15631" width="22.6328125" style="1" bestFit="1" customWidth="1"/>
    <col min="15632" max="15632" width="33" style="1" bestFit="1" customWidth="1"/>
    <col min="15633" max="15633" width="25.6328125" style="1" customWidth="1"/>
    <col min="15634" max="15635" width="16.6328125" style="1" customWidth="1"/>
    <col min="15636" max="15636" width="26.6328125" style="1" customWidth="1"/>
    <col min="15637" max="15876" width="9.08984375" style="1"/>
    <col min="15877" max="15877" width="71" style="1" customWidth="1"/>
    <col min="15878" max="15878" width="22.6328125" style="1" bestFit="1" customWidth="1"/>
    <col min="15879" max="15879" width="33" style="1" bestFit="1" customWidth="1"/>
    <col min="15880" max="15880" width="26.54296875" style="1" bestFit="1" customWidth="1"/>
    <col min="15881" max="15881" width="22.6328125" style="1" bestFit="1" customWidth="1"/>
    <col min="15882" max="15882" width="33" style="1" bestFit="1" customWidth="1"/>
    <col min="15883" max="15883" width="26.54296875" style="1" customWidth="1"/>
    <col min="15884" max="15884" width="22.6328125" style="1" bestFit="1" customWidth="1"/>
    <col min="15885" max="15886" width="33" style="1" bestFit="1" customWidth="1"/>
    <col min="15887" max="15887" width="22.6328125" style="1" bestFit="1" customWidth="1"/>
    <col min="15888" max="15888" width="33" style="1" bestFit="1" customWidth="1"/>
    <col min="15889" max="15889" width="25.6328125" style="1" customWidth="1"/>
    <col min="15890" max="15891" width="16.6328125" style="1" customWidth="1"/>
    <col min="15892" max="15892" width="26.6328125" style="1" customWidth="1"/>
    <col min="15893" max="16132" width="9.08984375" style="1"/>
    <col min="16133" max="16133" width="71" style="1" customWidth="1"/>
    <col min="16134" max="16134" width="22.6328125" style="1" bestFit="1" customWidth="1"/>
    <col min="16135" max="16135" width="33" style="1" bestFit="1" customWidth="1"/>
    <col min="16136" max="16136" width="26.54296875" style="1" bestFit="1" customWidth="1"/>
    <col min="16137" max="16137" width="22.6328125" style="1" bestFit="1" customWidth="1"/>
    <col min="16138" max="16138" width="33" style="1" bestFit="1" customWidth="1"/>
    <col min="16139" max="16139" width="26.54296875" style="1" customWidth="1"/>
    <col min="16140" max="16140" width="22.6328125" style="1" bestFit="1" customWidth="1"/>
    <col min="16141" max="16142" width="33" style="1" bestFit="1" customWidth="1"/>
    <col min="16143" max="16143" width="22.6328125" style="1" bestFit="1" customWidth="1"/>
    <col min="16144" max="16144" width="33" style="1" bestFit="1" customWidth="1"/>
    <col min="16145" max="16145" width="25.6328125" style="1" customWidth="1"/>
    <col min="16146" max="16147" width="16.6328125" style="1" customWidth="1"/>
    <col min="16148" max="16148" width="26.6328125" style="1" customWidth="1"/>
    <col min="16149" max="16384" width="9.08984375" style="1"/>
  </cols>
  <sheetData>
    <row r="2" spans="2:18" x14ac:dyDescent="0.3">
      <c r="B2" s="22"/>
      <c r="C2" s="22"/>
      <c r="D2" s="22"/>
      <c r="E2" s="22"/>
      <c r="F2" s="22"/>
      <c r="G2" s="798" t="str">
        <f>Index!$B$2</f>
        <v xml:space="preserve">      Maharashtra State Power Generation Company Ltd.</v>
      </c>
      <c r="H2" s="22"/>
      <c r="I2" s="22"/>
      <c r="J2" s="22"/>
      <c r="K2" s="22"/>
      <c r="L2" s="22"/>
      <c r="M2" s="22"/>
      <c r="N2" s="22"/>
      <c r="O2" s="22"/>
      <c r="P2" s="22"/>
      <c r="Q2" s="22"/>
      <c r="R2" s="22"/>
    </row>
    <row r="3" spans="2:18" x14ac:dyDescent="0.3">
      <c r="B3" s="278"/>
      <c r="C3" s="278"/>
      <c r="D3" s="278"/>
      <c r="E3" s="278"/>
      <c r="F3" s="278"/>
      <c r="G3" s="809" t="s">
        <v>1192</v>
      </c>
      <c r="H3" s="278"/>
      <c r="I3" s="278"/>
      <c r="J3" s="278"/>
      <c r="K3" s="278"/>
      <c r="L3" s="278"/>
      <c r="M3" s="278"/>
      <c r="N3" s="278"/>
      <c r="O3" s="278"/>
      <c r="P3" s="278"/>
      <c r="Q3" s="278"/>
      <c r="R3" s="278"/>
    </row>
    <row r="4" spans="2:18" x14ac:dyDescent="0.3">
      <c r="B4" s="22"/>
      <c r="C4" s="22"/>
      <c r="D4" s="22"/>
      <c r="E4" s="22"/>
      <c r="F4" s="22"/>
      <c r="G4" s="905" t="s">
        <v>1442</v>
      </c>
      <c r="H4" s="22"/>
      <c r="I4" s="22"/>
      <c r="J4" s="22"/>
      <c r="K4" s="22"/>
      <c r="L4" s="22"/>
      <c r="M4" s="22"/>
      <c r="N4" s="22"/>
      <c r="O4" s="22"/>
      <c r="P4" s="22"/>
      <c r="Q4" s="22"/>
      <c r="R4" s="22"/>
    </row>
    <row r="6" spans="2:18" x14ac:dyDescent="0.3">
      <c r="B6" s="42" t="s">
        <v>1443</v>
      </c>
      <c r="C6" s="42"/>
      <c r="D6" s="42"/>
      <c r="E6" s="42"/>
      <c r="F6" s="42"/>
      <c r="G6" s="42"/>
      <c r="H6" s="42"/>
      <c r="I6" s="42"/>
      <c r="J6" s="42"/>
      <c r="K6" s="42"/>
      <c r="L6" s="42"/>
      <c r="M6" s="42"/>
      <c r="N6" s="42"/>
      <c r="O6" s="42"/>
      <c r="P6" s="42"/>
      <c r="Q6" s="42"/>
    </row>
    <row r="7" spans="2:18" x14ac:dyDescent="0.3">
      <c r="B7" s="42" t="s">
        <v>1444</v>
      </c>
      <c r="C7" s="42"/>
      <c r="D7" s="42"/>
      <c r="E7" s="42"/>
      <c r="F7" s="42"/>
      <c r="G7" s="42"/>
      <c r="H7" s="42"/>
      <c r="I7" s="42"/>
      <c r="J7" s="42"/>
      <c r="K7" s="42"/>
      <c r="L7" s="42"/>
      <c r="M7" s="42"/>
      <c r="N7" s="42"/>
      <c r="O7" s="42"/>
      <c r="P7" s="42"/>
      <c r="Q7" s="42"/>
    </row>
    <row r="9" spans="2:18" ht="32.4" customHeight="1" x14ac:dyDescent="0.3">
      <c r="B9" s="176"/>
      <c r="C9" s="1861" t="s">
        <v>1445</v>
      </c>
      <c r="D9" s="1862"/>
      <c r="E9" s="1863"/>
      <c r="F9" s="1861" t="s">
        <v>1446</v>
      </c>
      <c r="G9" s="1862"/>
      <c r="H9" s="1863"/>
      <c r="I9" s="1861" t="s">
        <v>1447</v>
      </c>
      <c r="J9" s="1862"/>
      <c r="K9" s="1863"/>
      <c r="L9" s="1861" t="s">
        <v>1448</v>
      </c>
      <c r="M9" s="1862"/>
      <c r="N9" s="1863"/>
      <c r="O9" s="1861" t="s">
        <v>1449</v>
      </c>
      <c r="P9" s="1862"/>
      <c r="Q9" s="1863"/>
    </row>
    <row r="10" spans="2:18" ht="70" x14ac:dyDescent="0.3">
      <c r="B10" s="918"/>
      <c r="C10" s="805" t="s">
        <v>1450</v>
      </c>
      <c r="D10" s="805" t="s">
        <v>1451</v>
      </c>
      <c r="E10" s="805" t="s">
        <v>1452</v>
      </c>
      <c r="F10" s="805" t="s">
        <v>1453</v>
      </c>
      <c r="G10" s="805" t="s">
        <v>1451</v>
      </c>
      <c r="H10" s="805" t="s">
        <v>1452</v>
      </c>
      <c r="I10" s="805" t="s">
        <v>1453</v>
      </c>
      <c r="J10" s="805" t="s">
        <v>1451</v>
      </c>
      <c r="K10" s="805" t="s">
        <v>1452</v>
      </c>
      <c r="L10" s="805" t="s">
        <v>1453</v>
      </c>
      <c r="M10" s="805" t="s">
        <v>1451</v>
      </c>
      <c r="N10" s="805" t="s">
        <v>1452</v>
      </c>
      <c r="O10" s="805" t="s">
        <v>1453</v>
      </c>
      <c r="P10" s="805" t="s">
        <v>1451</v>
      </c>
      <c r="Q10" s="805" t="s">
        <v>1452</v>
      </c>
    </row>
    <row r="11" spans="2:18" x14ac:dyDescent="0.3">
      <c r="B11" s="919" t="s">
        <v>1454</v>
      </c>
      <c r="C11" s="1853" t="s">
        <v>1199</v>
      </c>
      <c r="D11" s="1854"/>
      <c r="E11" s="1854"/>
      <c r="F11" s="1854"/>
      <c r="G11" s="1854"/>
      <c r="H11" s="1854"/>
      <c r="I11" s="1854"/>
      <c r="J11" s="1854"/>
      <c r="K11" s="1854"/>
      <c r="L11" s="1854"/>
      <c r="M11" s="1854"/>
      <c r="N11" s="1854"/>
      <c r="O11" s="1854"/>
      <c r="P11" s="1854"/>
      <c r="Q11" s="1855"/>
      <c r="R11" s="920"/>
    </row>
    <row r="12" spans="2:18" x14ac:dyDescent="0.3">
      <c r="B12" s="9" t="s">
        <v>1207</v>
      </c>
      <c r="C12" s="1856"/>
      <c r="D12" s="1801"/>
      <c r="E12" s="1801"/>
      <c r="F12" s="1801"/>
      <c r="G12" s="1801"/>
      <c r="H12" s="1801"/>
      <c r="I12" s="1801"/>
      <c r="J12" s="1801"/>
      <c r="K12" s="1801"/>
      <c r="L12" s="1801"/>
      <c r="M12" s="1801"/>
      <c r="N12" s="1801"/>
      <c r="O12" s="1801"/>
      <c r="P12" s="1801"/>
      <c r="Q12" s="1857"/>
      <c r="R12" s="921"/>
    </row>
    <row r="13" spans="2:18" x14ac:dyDescent="0.3">
      <c r="B13" s="9" t="s">
        <v>1207</v>
      </c>
      <c r="C13" s="1856"/>
      <c r="D13" s="1801"/>
      <c r="E13" s="1801"/>
      <c r="F13" s="1801"/>
      <c r="G13" s="1801"/>
      <c r="H13" s="1801"/>
      <c r="I13" s="1801"/>
      <c r="J13" s="1801"/>
      <c r="K13" s="1801"/>
      <c r="L13" s="1801"/>
      <c r="M13" s="1801"/>
      <c r="N13" s="1801"/>
      <c r="O13" s="1801"/>
      <c r="P13" s="1801"/>
      <c r="Q13" s="1857"/>
    </row>
    <row r="14" spans="2:18" x14ac:dyDescent="0.3">
      <c r="B14" s="40" t="s">
        <v>1455</v>
      </c>
      <c r="C14" s="1856"/>
      <c r="D14" s="1801"/>
      <c r="E14" s="1801"/>
      <c r="F14" s="1801"/>
      <c r="G14" s="1801"/>
      <c r="H14" s="1801"/>
      <c r="I14" s="1801"/>
      <c r="J14" s="1801"/>
      <c r="K14" s="1801"/>
      <c r="L14" s="1801"/>
      <c r="M14" s="1801"/>
      <c r="N14" s="1801"/>
      <c r="O14" s="1801"/>
      <c r="P14" s="1801"/>
      <c r="Q14" s="1857"/>
      <c r="R14" s="922"/>
    </row>
    <row r="15" spans="2:18" x14ac:dyDescent="0.3">
      <c r="B15" s="9" t="s">
        <v>1456</v>
      </c>
      <c r="C15" s="1856"/>
      <c r="D15" s="1801"/>
      <c r="E15" s="1801"/>
      <c r="F15" s="1801"/>
      <c r="G15" s="1801"/>
      <c r="H15" s="1801"/>
      <c r="I15" s="1801"/>
      <c r="J15" s="1801"/>
      <c r="K15" s="1801"/>
      <c r="L15" s="1801"/>
      <c r="M15" s="1801"/>
      <c r="N15" s="1801"/>
      <c r="O15" s="1801"/>
      <c r="P15" s="1801"/>
      <c r="Q15" s="1857"/>
    </row>
    <row r="16" spans="2:18" x14ac:dyDescent="0.3">
      <c r="B16" s="923" t="s">
        <v>1457</v>
      </c>
      <c r="C16" s="1856"/>
      <c r="D16" s="1801"/>
      <c r="E16" s="1801"/>
      <c r="F16" s="1801"/>
      <c r="G16" s="1801"/>
      <c r="H16" s="1801"/>
      <c r="I16" s="1801"/>
      <c r="J16" s="1801"/>
      <c r="K16" s="1801"/>
      <c r="L16" s="1801"/>
      <c r="M16" s="1801"/>
      <c r="N16" s="1801"/>
      <c r="O16" s="1801"/>
      <c r="P16" s="1801"/>
      <c r="Q16" s="1857"/>
      <c r="R16" s="922"/>
    </row>
    <row r="17" spans="2:20" x14ac:dyDescent="0.3">
      <c r="B17" s="924" t="s">
        <v>1458</v>
      </c>
      <c r="C17" s="1856"/>
      <c r="D17" s="1801"/>
      <c r="E17" s="1801"/>
      <c r="F17" s="1801"/>
      <c r="G17" s="1801"/>
      <c r="H17" s="1801"/>
      <c r="I17" s="1801"/>
      <c r="J17" s="1801"/>
      <c r="K17" s="1801"/>
      <c r="L17" s="1801"/>
      <c r="M17" s="1801"/>
      <c r="N17" s="1801"/>
      <c r="O17" s="1801"/>
      <c r="P17" s="1801"/>
      <c r="Q17" s="1857"/>
      <c r="R17" s="925"/>
    </row>
    <row r="18" spans="2:20" x14ac:dyDescent="0.3">
      <c r="B18" s="923" t="s">
        <v>1459</v>
      </c>
      <c r="C18" s="1856"/>
      <c r="D18" s="1801"/>
      <c r="E18" s="1801"/>
      <c r="F18" s="1801"/>
      <c r="G18" s="1801"/>
      <c r="H18" s="1801"/>
      <c r="I18" s="1801"/>
      <c r="J18" s="1801"/>
      <c r="K18" s="1801"/>
      <c r="L18" s="1801"/>
      <c r="M18" s="1801"/>
      <c r="N18" s="1801"/>
      <c r="O18" s="1801"/>
      <c r="P18" s="1801"/>
      <c r="Q18" s="1857"/>
      <c r="R18" s="920"/>
      <c r="T18" s="920"/>
    </row>
    <row r="19" spans="2:20" x14ac:dyDescent="0.3">
      <c r="B19" s="40" t="s">
        <v>1460</v>
      </c>
      <c r="C19" s="1856"/>
      <c r="D19" s="1801"/>
      <c r="E19" s="1801"/>
      <c r="F19" s="1801"/>
      <c r="G19" s="1801"/>
      <c r="H19" s="1801"/>
      <c r="I19" s="1801"/>
      <c r="J19" s="1801"/>
      <c r="K19" s="1801"/>
      <c r="L19" s="1801"/>
      <c r="M19" s="1801"/>
      <c r="N19" s="1801"/>
      <c r="O19" s="1801"/>
      <c r="P19" s="1801"/>
      <c r="Q19" s="1857"/>
      <c r="R19" s="926"/>
      <c r="T19" s="920"/>
    </row>
    <row r="20" spans="2:20" s="42" customFormat="1" x14ac:dyDescent="0.3">
      <c r="B20" s="40" t="s">
        <v>1461</v>
      </c>
      <c r="C20" s="1856"/>
      <c r="D20" s="1801"/>
      <c r="E20" s="1801"/>
      <c r="F20" s="1801"/>
      <c r="G20" s="1801"/>
      <c r="H20" s="1801"/>
      <c r="I20" s="1801"/>
      <c r="J20" s="1801"/>
      <c r="K20" s="1801"/>
      <c r="L20" s="1801"/>
      <c r="M20" s="1801"/>
      <c r="N20" s="1801"/>
      <c r="O20" s="1801"/>
      <c r="P20" s="1801"/>
      <c r="Q20" s="1857"/>
      <c r="R20" s="928"/>
      <c r="S20" s="928"/>
    </row>
    <row r="21" spans="2:20" ht="60.75" customHeight="1" x14ac:dyDescent="0.3">
      <c r="B21" s="929" t="s">
        <v>1462</v>
      </c>
      <c r="C21" s="1858"/>
      <c r="D21" s="1859"/>
      <c r="E21" s="1859"/>
      <c r="F21" s="1859"/>
      <c r="G21" s="1859"/>
      <c r="H21" s="1859"/>
      <c r="I21" s="1859"/>
      <c r="J21" s="1859"/>
      <c r="K21" s="1859"/>
      <c r="L21" s="1859"/>
      <c r="M21" s="1859"/>
      <c r="N21" s="1859"/>
      <c r="O21" s="1859"/>
      <c r="P21" s="1859"/>
      <c r="Q21" s="1860"/>
      <c r="R21" s="922"/>
    </row>
    <row r="22" spans="2:20" x14ac:dyDescent="0.3">
      <c r="B22" s="930"/>
      <c r="C22" s="931"/>
      <c r="D22" s="125"/>
      <c r="E22" s="932"/>
      <c r="F22" s="933"/>
      <c r="G22" s="920"/>
      <c r="H22" s="934"/>
      <c r="I22" s="935"/>
      <c r="J22" s="922"/>
      <c r="K22" s="936"/>
      <c r="L22" s="936"/>
      <c r="M22" s="936"/>
      <c r="N22" s="936"/>
      <c r="O22" s="933"/>
      <c r="P22" s="920"/>
      <c r="Q22" s="936"/>
    </row>
    <row r="23" spans="2:20" x14ac:dyDescent="0.3">
      <c r="B23" s="1" t="s">
        <v>1463</v>
      </c>
      <c r="G23" s="920"/>
      <c r="H23" s="937"/>
      <c r="I23" s="937"/>
      <c r="J23" s="922"/>
      <c r="K23" s="937"/>
      <c r="L23" s="937"/>
      <c r="M23" s="937"/>
      <c r="N23" s="937"/>
      <c r="P23" s="920"/>
      <c r="Q23" s="937"/>
      <c r="R23" s="922"/>
    </row>
    <row r="24" spans="2:20" x14ac:dyDescent="0.3">
      <c r="H24" s="938"/>
      <c r="K24" s="938"/>
      <c r="L24" s="938"/>
      <c r="M24" s="938"/>
      <c r="N24" s="938"/>
      <c r="Q24" s="938"/>
    </row>
    <row r="25" spans="2:20" x14ac:dyDescent="0.3">
      <c r="C25" s="920"/>
      <c r="D25" s="920"/>
      <c r="E25" s="920"/>
      <c r="F25" s="920"/>
      <c r="G25" s="920"/>
      <c r="H25" s="920"/>
      <c r="I25" s="920"/>
      <c r="J25" s="920"/>
      <c r="K25" s="920"/>
      <c r="L25" s="920"/>
      <c r="M25" s="920"/>
      <c r="N25" s="920"/>
      <c r="O25" s="920"/>
      <c r="P25" s="920"/>
      <c r="Q25" s="920"/>
    </row>
    <row r="26" spans="2:20" x14ac:dyDescent="0.3">
      <c r="H26" s="920"/>
      <c r="K26" s="920"/>
      <c r="L26" s="920"/>
      <c r="M26" s="920"/>
      <c r="N26" s="920"/>
      <c r="Q26" s="920"/>
      <c r="S26" s="920"/>
    </row>
    <row r="27" spans="2:20" x14ac:dyDescent="0.3">
      <c r="C27" s="920"/>
      <c r="D27" s="920"/>
      <c r="F27" s="920"/>
      <c r="G27" s="920"/>
      <c r="H27" s="920"/>
      <c r="I27" s="920"/>
      <c r="J27" s="920"/>
      <c r="K27" s="920"/>
      <c r="L27" s="920"/>
      <c r="M27" s="920"/>
      <c r="N27" s="920"/>
      <c r="O27" s="920"/>
      <c r="P27" s="920"/>
      <c r="Q27" s="920"/>
    </row>
    <row r="29" spans="2:20" ht="29.4" customHeight="1" x14ac:dyDescent="0.3">
      <c r="C29" s="473"/>
      <c r="E29" s="920"/>
    </row>
  </sheetData>
  <mergeCells count="6">
    <mergeCell ref="C11:Q21"/>
    <mergeCell ref="C9:E9"/>
    <mergeCell ref="F9:H9"/>
    <mergeCell ref="I9:K9"/>
    <mergeCell ref="L9:N9"/>
    <mergeCell ref="O9:Q9"/>
  </mergeCells>
  <printOptions horizontalCentered="1" verticalCentered="1"/>
  <pageMargins left="0.39" right="0.55118110236220474" top="0.98425196850393704" bottom="0.98425196850393704" header="0.51181102362204722" footer="0.51181102362204722"/>
  <pageSetup paperSize="9" scale="61"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C37"/>
  <sheetViews>
    <sheetView showGridLines="0" view="pageBreakPreview" zoomScale="70" zoomScaleNormal="75" zoomScaleSheetLayoutView="70" workbookViewId="0">
      <selection activeCell="A2" sqref="A2:T2"/>
    </sheetView>
  </sheetViews>
  <sheetFormatPr defaultColWidth="9.08984375" defaultRowHeight="14" x14ac:dyDescent="0.3"/>
  <cols>
    <col min="1" max="1" width="9.08984375" style="1"/>
    <col min="2" max="2" width="51" style="1" customWidth="1"/>
    <col min="3" max="3" width="124" style="1" customWidth="1"/>
    <col min="4" max="257" width="9.08984375" style="1"/>
    <col min="258" max="258" width="50.36328125" style="1" customWidth="1"/>
    <col min="259" max="259" width="90.54296875" style="1" customWidth="1"/>
    <col min="260" max="513" width="9.08984375" style="1"/>
    <col min="514" max="514" width="50.36328125" style="1" customWidth="1"/>
    <col min="515" max="515" width="90.54296875" style="1" customWidth="1"/>
    <col min="516" max="769" width="9.08984375" style="1"/>
    <col min="770" max="770" width="50.36328125" style="1" customWidth="1"/>
    <col min="771" max="771" width="90.54296875" style="1" customWidth="1"/>
    <col min="772" max="1025" width="9.08984375" style="1"/>
    <col min="1026" max="1026" width="50.36328125" style="1" customWidth="1"/>
    <col min="1027" max="1027" width="90.54296875" style="1" customWidth="1"/>
    <col min="1028" max="1281" width="9.08984375" style="1"/>
    <col min="1282" max="1282" width="50.36328125" style="1" customWidth="1"/>
    <col min="1283" max="1283" width="90.54296875" style="1" customWidth="1"/>
    <col min="1284" max="1537" width="9.08984375" style="1"/>
    <col min="1538" max="1538" width="50.36328125" style="1" customWidth="1"/>
    <col min="1539" max="1539" width="90.54296875" style="1" customWidth="1"/>
    <col min="1540" max="1793" width="9.08984375" style="1"/>
    <col min="1794" max="1794" width="50.36328125" style="1" customWidth="1"/>
    <col min="1795" max="1795" width="90.54296875" style="1" customWidth="1"/>
    <col min="1796" max="2049" width="9.08984375" style="1"/>
    <col min="2050" max="2050" width="50.36328125" style="1" customWidth="1"/>
    <col min="2051" max="2051" width="90.54296875" style="1" customWidth="1"/>
    <col min="2052" max="2305" width="9.08984375" style="1"/>
    <col min="2306" max="2306" width="50.36328125" style="1" customWidth="1"/>
    <col min="2307" max="2307" width="90.54296875" style="1" customWidth="1"/>
    <col min="2308" max="2561" width="9.08984375" style="1"/>
    <col min="2562" max="2562" width="50.36328125" style="1" customWidth="1"/>
    <col min="2563" max="2563" width="90.54296875" style="1" customWidth="1"/>
    <col min="2564" max="2817" width="9.08984375" style="1"/>
    <col min="2818" max="2818" width="50.36328125" style="1" customWidth="1"/>
    <col min="2819" max="2819" width="90.54296875" style="1" customWidth="1"/>
    <col min="2820" max="3073" width="9.08984375" style="1"/>
    <col min="3074" max="3074" width="50.36328125" style="1" customWidth="1"/>
    <col min="3075" max="3075" width="90.54296875" style="1" customWidth="1"/>
    <col min="3076" max="3329" width="9.08984375" style="1"/>
    <col min="3330" max="3330" width="50.36328125" style="1" customWidth="1"/>
    <col min="3331" max="3331" width="90.54296875" style="1" customWidth="1"/>
    <col min="3332" max="3585" width="9.08984375" style="1"/>
    <col min="3586" max="3586" width="50.36328125" style="1" customWidth="1"/>
    <col min="3587" max="3587" width="90.54296875" style="1" customWidth="1"/>
    <col min="3588" max="3841" width="9.08984375" style="1"/>
    <col min="3842" max="3842" width="50.36328125" style="1" customWidth="1"/>
    <col min="3843" max="3843" width="90.54296875" style="1" customWidth="1"/>
    <col min="3844" max="4097" width="9.08984375" style="1"/>
    <col min="4098" max="4098" width="50.36328125" style="1" customWidth="1"/>
    <col min="4099" max="4099" width="90.54296875" style="1" customWidth="1"/>
    <col min="4100" max="4353" width="9.08984375" style="1"/>
    <col min="4354" max="4354" width="50.36328125" style="1" customWidth="1"/>
    <col min="4355" max="4355" width="90.54296875" style="1" customWidth="1"/>
    <col min="4356" max="4609" width="9.08984375" style="1"/>
    <col min="4610" max="4610" width="50.36328125" style="1" customWidth="1"/>
    <col min="4611" max="4611" width="90.54296875" style="1" customWidth="1"/>
    <col min="4612" max="4865" width="9.08984375" style="1"/>
    <col min="4866" max="4866" width="50.36328125" style="1" customWidth="1"/>
    <col min="4867" max="4867" width="90.54296875" style="1" customWidth="1"/>
    <col min="4868" max="5121" width="9.08984375" style="1"/>
    <col min="5122" max="5122" width="50.36328125" style="1" customWidth="1"/>
    <col min="5123" max="5123" width="90.54296875" style="1" customWidth="1"/>
    <col min="5124" max="5377" width="9.08984375" style="1"/>
    <col min="5378" max="5378" width="50.36328125" style="1" customWidth="1"/>
    <col min="5379" max="5379" width="90.54296875" style="1" customWidth="1"/>
    <col min="5380" max="5633" width="9.08984375" style="1"/>
    <col min="5634" max="5634" width="50.36328125" style="1" customWidth="1"/>
    <col min="5635" max="5635" width="90.54296875" style="1" customWidth="1"/>
    <col min="5636" max="5889" width="9.08984375" style="1"/>
    <col min="5890" max="5890" width="50.36328125" style="1" customWidth="1"/>
    <col min="5891" max="5891" width="90.54296875" style="1" customWidth="1"/>
    <col min="5892" max="6145" width="9.08984375" style="1"/>
    <col min="6146" max="6146" width="50.36328125" style="1" customWidth="1"/>
    <col min="6147" max="6147" width="90.54296875" style="1" customWidth="1"/>
    <col min="6148" max="6401" width="9.08984375" style="1"/>
    <col min="6402" max="6402" width="50.36328125" style="1" customWidth="1"/>
    <col min="6403" max="6403" width="90.54296875" style="1" customWidth="1"/>
    <col min="6404" max="6657" width="9.08984375" style="1"/>
    <col min="6658" max="6658" width="50.36328125" style="1" customWidth="1"/>
    <col min="6659" max="6659" width="90.54296875" style="1" customWidth="1"/>
    <col min="6660" max="6913" width="9.08984375" style="1"/>
    <col min="6914" max="6914" width="50.36328125" style="1" customWidth="1"/>
    <col min="6915" max="6915" width="90.54296875" style="1" customWidth="1"/>
    <col min="6916" max="7169" width="9.08984375" style="1"/>
    <col min="7170" max="7170" width="50.36328125" style="1" customWidth="1"/>
    <col min="7171" max="7171" width="90.54296875" style="1" customWidth="1"/>
    <col min="7172" max="7425" width="9.08984375" style="1"/>
    <col min="7426" max="7426" width="50.36328125" style="1" customWidth="1"/>
    <col min="7427" max="7427" width="90.54296875" style="1" customWidth="1"/>
    <col min="7428" max="7681" width="9.08984375" style="1"/>
    <col min="7682" max="7682" width="50.36328125" style="1" customWidth="1"/>
    <col min="7683" max="7683" width="90.54296875" style="1" customWidth="1"/>
    <col min="7684" max="7937" width="9.08984375" style="1"/>
    <col min="7938" max="7938" width="50.36328125" style="1" customWidth="1"/>
    <col min="7939" max="7939" width="90.54296875" style="1" customWidth="1"/>
    <col min="7940" max="8193" width="9.08984375" style="1"/>
    <col min="8194" max="8194" width="50.36328125" style="1" customWidth="1"/>
    <col min="8195" max="8195" width="90.54296875" style="1" customWidth="1"/>
    <col min="8196" max="8449" width="9.08984375" style="1"/>
    <col min="8450" max="8450" width="50.36328125" style="1" customWidth="1"/>
    <col min="8451" max="8451" width="90.54296875" style="1" customWidth="1"/>
    <col min="8452" max="8705" width="9.08984375" style="1"/>
    <col min="8706" max="8706" width="50.36328125" style="1" customWidth="1"/>
    <col min="8707" max="8707" width="90.54296875" style="1" customWidth="1"/>
    <col min="8708" max="8961" width="9.08984375" style="1"/>
    <col min="8962" max="8962" width="50.36328125" style="1" customWidth="1"/>
    <col min="8963" max="8963" width="90.54296875" style="1" customWidth="1"/>
    <col min="8964" max="9217" width="9.08984375" style="1"/>
    <col min="9218" max="9218" width="50.36328125" style="1" customWidth="1"/>
    <col min="9219" max="9219" width="90.54296875" style="1" customWidth="1"/>
    <col min="9220" max="9473" width="9.08984375" style="1"/>
    <col min="9474" max="9474" width="50.36328125" style="1" customWidth="1"/>
    <col min="9475" max="9475" width="90.54296875" style="1" customWidth="1"/>
    <col min="9476" max="9729" width="9.08984375" style="1"/>
    <col min="9730" max="9730" width="50.36328125" style="1" customWidth="1"/>
    <col min="9731" max="9731" width="90.54296875" style="1" customWidth="1"/>
    <col min="9732" max="9985" width="9.08984375" style="1"/>
    <col min="9986" max="9986" width="50.36328125" style="1" customWidth="1"/>
    <col min="9987" max="9987" width="90.54296875" style="1" customWidth="1"/>
    <col min="9988" max="10241" width="9.08984375" style="1"/>
    <col min="10242" max="10242" width="50.36328125" style="1" customWidth="1"/>
    <col min="10243" max="10243" width="90.54296875" style="1" customWidth="1"/>
    <col min="10244" max="10497" width="9.08984375" style="1"/>
    <col min="10498" max="10498" width="50.36328125" style="1" customWidth="1"/>
    <col min="10499" max="10499" width="90.54296875" style="1" customWidth="1"/>
    <col min="10500" max="10753" width="9.08984375" style="1"/>
    <col min="10754" max="10754" width="50.36328125" style="1" customWidth="1"/>
    <col min="10755" max="10755" width="90.54296875" style="1" customWidth="1"/>
    <col min="10756" max="11009" width="9.08984375" style="1"/>
    <col min="11010" max="11010" width="50.36328125" style="1" customWidth="1"/>
    <col min="11011" max="11011" width="90.54296875" style="1" customWidth="1"/>
    <col min="11012" max="11265" width="9.08984375" style="1"/>
    <col min="11266" max="11266" width="50.36328125" style="1" customWidth="1"/>
    <col min="11267" max="11267" width="90.54296875" style="1" customWidth="1"/>
    <col min="11268" max="11521" width="9.08984375" style="1"/>
    <col min="11522" max="11522" width="50.36328125" style="1" customWidth="1"/>
    <col min="11523" max="11523" width="90.54296875" style="1" customWidth="1"/>
    <col min="11524" max="11777" width="9.08984375" style="1"/>
    <col min="11778" max="11778" width="50.36328125" style="1" customWidth="1"/>
    <col min="11779" max="11779" width="90.54296875" style="1" customWidth="1"/>
    <col min="11780" max="12033" width="9.08984375" style="1"/>
    <col min="12034" max="12034" width="50.36328125" style="1" customWidth="1"/>
    <col min="12035" max="12035" width="90.54296875" style="1" customWidth="1"/>
    <col min="12036" max="12289" width="9.08984375" style="1"/>
    <col min="12290" max="12290" width="50.36328125" style="1" customWidth="1"/>
    <col min="12291" max="12291" width="90.54296875" style="1" customWidth="1"/>
    <col min="12292" max="12545" width="9.08984375" style="1"/>
    <col min="12546" max="12546" width="50.36328125" style="1" customWidth="1"/>
    <col min="12547" max="12547" width="90.54296875" style="1" customWidth="1"/>
    <col min="12548" max="12801" width="9.08984375" style="1"/>
    <col min="12802" max="12802" width="50.36328125" style="1" customWidth="1"/>
    <col min="12803" max="12803" width="90.54296875" style="1" customWidth="1"/>
    <col min="12804" max="13057" width="9.08984375" style="1"/>
    <col min="13058" max="13058" width="50.36328125" style="1" customWidth="1"/>
    <col min="13059" max="13059" width="90.54296875" style="1" customWidth="1"/>
    <col min="13060" max="13313" width="9.08984375" style="1"/>
    <col min="13314" max="13314" width="50.36328125" style="1" customWidth="1"/>
    <col min="13315" max="13315" width="90.54296875" style="1" customWidth="1"/>
    <col min="13316" max="13569" width="9.08984375" style="1"/>
    <col min="13570" max="13570" width="50.36328125" style="1" customWidth="1"/>
    <col min="13571" max="13571" width="90.54296875" style="1" customWidth="1"/>
    <col min="13572" max="13825" width="9.08984375" style="1"/>
    <col min="13826" max="13826" width="50.36328125" style="1" customWidth="1"/>
    <col min="13827" max="13827" width="90.54296875" style="1" customWidth="1"/>
    <col min="13828" max="14081" width="9.08984375" style="1"/>
    <col min="14082" max="14082" width="50.36328125" style="1" customWidth="1"/>
    <col min="14083" max="14083" width="90.54296875" style="1" customWidth="1"/>
    <col min="14084" max="14337" width="9.08984375" style="1"/>
    <col min="14338" max="14338" width="50.36328125" style="1" customWidth="1"/>
    <col min="14339" max="14339" width="90.54296875" style="1" customWidth="1"/>
    <col min="14340" max="14593" width="9.08984375" style="1"/>
    <col min="14594" max="14594" width="50.36328125" style="1" customWidth="1"/>
    <col min="14595" max="14595" width="90.54296875" style="1" customWidth="1"/>
    <col min="14596" max="14849" width="9.08984375" style="1"/>
    <col min="14850" max="14850" width="50.36328125" style="1" customWidth="1"/>
    <col min="14851" max="14851" width="90.54296875" style="1" customWidth="1"/>
    <col min="14852" max="15105" width="9.08984375" style="1"/>
    <col min="15106" max="15106" width="50.36328125" style="1" customWidth="1"/>
    <col min="15107" max="15107" width="90.54296875" style="1" customWidth="1"/>
    <col min="15108" max="15361" width="9.08984375" style="1"/>
    <col min="15362" max="15362" width="50.36328125" style="1" customWidth="1"/>
    <col min="15363" max="15363" width="90.54296875" style="1" customWidth="1"/>
    <col min="15364" max="15617" width="9.08984375" style="1"/>
    <col min="15618" max="15618" width="50.36328125" style="1" customWidth="1"/>
    <col min="15619" max="15619" width="90.54296875" style="1" customWidth="1"/>
    <col min="15620" max="15873" width="9.08984375" style="1"/>
    <col min="15874" max="15874" width="50.36328125" style="1" customWidth="1"/>
    <col min="15875" max="15875" width="90.54296875" style="1" customWidth="1"/>
    <col min="15876" max="16129" width="9.08984375" style="1"/>
    <col min="16130" max="16130" width="50.36328125" style="1" customWidth="1"/>
    <col min="16131" max="16131" width="90.54296875" style="1" customWidth="1"/>
    <col min="16132" max="16384" width="9.08984375" style="1"/>
  </cols>
  <sheetData>
    <row r="1" spans="2:3" x14ac:dyDescent="0.3">
      <c r="C1" s="532"/>
    </row>
    <row r="2" spans="2:3" x14ac:dyDescent="0.3">
      <c r="B2" s="1598" t="s">
        <v>779</v>
      </c>
      <c r="C2" s="1598"/>
    </row>
    <row r="3" spans="2:3" ht="16.5" customHeight="1" x14ac:dyDescent="0.3">
      <c r="B3" s="1868" t="s">
        <v>1192</v>
      </c>
      <c r="C3" s="1868"/>
    </row>
    <row r="4" spans="2:3" ht="14" customHeight="1" x14ac:dyDescent="0.3">
      <c r="B4" s="1869" t="s">
        <v>1464</v>
      </c>
      <c r="C4" s="1869"/>
    </row>
    <row r="7" spans="2:3" x14ac:dyDescent="0.3">
      <c r="B7" s="804" t="s">
        <v>38</v>
      </c>
      <c r="C7" s="804" t="s">
        <v>1465</v>
      </c>
    </row>
    <row r="8" spans="2:3" x14ac:dyDescent="0.3">
      <c r="B8" s="927"/>
      <c r="C8" s="1865" t="s">
        <v>1199</v>
      </c>
    </row>
    <row r="9" spans="2:3" x14ac:dyDescent="0.3">
      <c r="B9" s="174" t="s">
        <v>1466</v>
      </c>
      <c r="C9" s="1866"/>
    </row>
    <row r="10" spans="2:3" x14ac:dyDescent="0.3">
      <c r="B10" s="9" t="s">
        <v>1453</v>
      </c>
      <c r="C10" s="1866"/>
    </row>
    <row r="11" spans="2:3" x14ac:dyDescent="0.3">
      <c r="B11" s="9" t="s">
        <v>1467</v>
      </c>
      <c r="C11" s="1866"/>
    </row>
    <row r="12" spans="2:3" x14ac:dyDescent="0.3">
      <c r="B12" s="939" t="s">
        <v>1468</v>
      </c>
      <c r="C12" s="1866"/>
    </row>
    <row r="13" spans="2:3" x14ac:dyDescent="0.3">
      <c r="B13" s="9" t="s">
        <v>1469</v>
      </c>
      <c r="C13" s="1866"/>
    </row>
    <row r="14" spans="2:3" x14ac:dyDescent="0.3">
      <c r="B14" s="155" t="s">
        <v>1470</v>
      </c>
      <c r="C14" s="1866"/>
    </row>
    <row r="15" spans="2:3" x14ac:dyDescent="0.3">
      <c r="B15" s="9" t="s">
        <v>1471</v>
      </c>
      <c r="C15" s="1866"/>
    </row>
    <row r="16" spans="2:3" x14ac:dyDescent="0.3">
      <c r="B16" s="9" t="s">
        <v>1472</v>
      </c>
      <c r="C16" s="1866"/>
    </row>
    <row r="17" spans="2:3" x14ac:dyDescent="0.3">
      <c r="B17" s="9" t="s">
        <v>1473</v>
      </c>
      <c r="C17" s="1866"/>
    </row>
    <row r="18" spans="2:3" x14ac:dyDescent="0.3">
      <c r="B18" s="9" t="s">
        <v>1474</v>
      </c>
      <c r="C18" s="1866"/>
    </row>
    <row r="19" spans="2:3" x14ac:dyDescent="0.3">
      <c r="B19" s="9" t="s">
        <v>1475</v>
      </c>
      <c r="C19" s="1866"/>
    </row>
    <row r="20" spans="2:3" x14ac:dyDescent="0.3">
      <c r="B20" s="9" t="s">
        <v>1476</v>
      </c>
      <c r="C20" s="1866"/>
    </row>
    <row r="21" spans="2:3" x14ac:dyDescent="0.3">
      <c r="B21" s="9" t="s">
        <v>1477</v>
      </c>
      <c r="C21" s="1866"/>
    </row>
    <row r="22" spans="2:3" x14ac:dyDescent="0.3">
      <c r="B22" s="9" t="s">
        <v>1478</v>
      </c>
      <c r="C22" s="1866"/>
    </row>
    <row r="23" spans="2:3" x14ac:dyDescent="0.3">
      <c r="B23" s="9" t="s">
        <v>1479</v>
      </c>
      <c r="C23" s="1866"/>
    </row>
    <row r="24" spans="2:3" x14ac:dyDescent="0.3">
      <c r="B24" s="9" t="s">
        <v>1480</v>
      </c>
      <c r="C24" s="1866"/>
    </row>
    <row r="25" spans="2:3" x14ac:dyDescent="0.3">
      <c r="B25" s="9" t="s">
        <v>1481</v>
      </c>
      <c r="C25" s="1867"/>
    </row>
    <row r="27" spans="2:3" x14ac:dyDescent="0.3">
      <c r="B27" s="1864" t="s">
        <v>1482</v>
      </c>
      <c r="C27" s="1864"/>
    </row>
    <row r="28" spans="2:3" x14ac:dyDescent="0.3">
      <c r="B28" s="1864" t="s">
        <v>1483</v>
      </c>
      <c r="C28" s="1864"/>
    </row>
    <row r="29" spans="2:3" ht="29.4" customHeight="1" x14ac:dyDescent="0.3">
      <c r="B29" s="940" t="s">
        <v>1484</v>
      </c>
      <c r="C29" s="473"/>
    </row>
    <row r="30" spans="2:3" x14ac:dyDescent="0.3">
      <c r="B30" s="1864" t="s">
        <v>1485</v>
      </c>
      <c r="C30" s="1864"/>
    </row>
    <row r="31" spans="2:3" x14ac:dyDescent="0.3">
      <c r="B31" s="1864" t="s">
        <v>1486</v>
      </c>
      <c r="C31" s="1864"/>
    </row>
    <row r="32" spans="2:3" x14ac:dyDescent="0.3">
      <c r="B32" s="1864" t="s">
        <v>1487</v>
      </c>
      <c r="C32" s="1864"/>
    </row>
    <row r="33" spans="2:3" x14ac:dyDescent="0.3">
      <c r="B33" s="1864" t="s">
        <v>1488</v>
      </c>
      <c r="C33" s="1864"/>
    </row>
    <row r="34" spans="2:3" x14ac:dyDescent="0.3">
      <c r="B34" s="1864" t="s">
        <v>1489</v>
      </c>
      <c r="C34" s="1864"/>
    </row>
    <row r="35" spans="2:3" x14ac:dyDescent="0.3">
      <c r="B35" s="1864" t="s">
        <v>1490</v>
      </c>
      <c r="C35" s="1864"/>
    </row>
    <row r="36" spans="2:3" x14ac:dyDescent="0.3">
      <c r="B36" s="1864" t="s">
        <v>1491</v>
      </c>
      <c r="C36" s="1864"/>
    </row>
    <row r="37" spans="2:3" x14ac:dyDescent="0.3">
      <c r="B37" s="1864" t="s">
        <v>1492</v>
      </c>
      <c r="C37" s="1864"/>
    </row>
  </sheetData>
  <mergeCells count="14">
    <mergeCell ref="B2:C2"/>
    <mergeCell ref="B3:C3"/>
    <mergeCell ref="B4:C4"/>
    <mergeCell ref="B27:C27"/>
    <mergeCell ref="B28:C28"/>
    <mergeCell ref="B37:C37"/>
    <mergeCell ref="C8:C25"/>
    <mergeCell ref="B31:C31"/>
    <mergeCell ref="B32:C32"/>
    <mergeCell ref="B33:C33"/>
    <mergeCell ref="B34:C34"/>
    <mergeCell ref="B35:C35"/>
    <mergeCell ref="B36:C36"/>
    <mergeCell ref="B30:C30"/>
  </mergeCells>
  <printOptions horizontalCentered="1" verticalCentered="1"/>
  <pageMargins left="0.96" right="0.47244094488188981" top="0.98425196850393704" bottom="0.49" header="0.51181102362204722" footer="0.44"/>
  <pageSetup paperSize="9" scale="72"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N29"/>
  <sheetViews>
    <sheetView showGridLines="0" view="pageBreakPreview" topLeftCell="D1" zoomScale="90" zoomScaleSheetLayoutView="90" workbookViewId="0">
      <selection activeCell="A2" sqref="A2:T2"/>
    </sheetView>
  </sheetViews>
  <sheetFormatPr defaultColWidth="9.08984375" defaultRowHeight="14" x14ac:dyDescent="0.3"/>
  <cols>
    <col min="1" max="1" width="9.08984375" style="868"/>
    <col min="2" max="2" width="4.6328125" style="868" customWidth="1"/>
    <col min="3" max="3" width="17.453125" style="868" customWidth="1"/>
    <col min="4" max="4" width="18.08984375" style="868" customWidth="1"/>
    <col min="5" max="5" width="20.36328125" style="950" customWidth="1"/>
    <col min="6" max="6" width="16.08984375" style="870" customWidth="1"/>
    <col min="7" max="7" width="19.6328125" style="950" customWidth="1"/>
    <col min="8" max="10" width="20" style="870" customWidth="1"/>
    <col min="11" max="11" width="20.6328125" style="950" customWidth="1"/>
    <col min="12" max="12" width="14.36328125" style="870" customWidth="1"/>
    <col min="13" max="13" width="19.6328125" style="868" customWidth="1"/>
    <col min="14" max="14" width="20.453125" style="868" customWidth="1"/>
    <col min="15" max="259" width="9.08984375" style="868"/>
    <col min="260" max="260" width="4.6328125" style="868" customWidth="1"/>
    <col min="261" max="261" width="11.08984375" style="868" customWidth="1"/>
    <col min="262" max="262" width="23.453125" style="868" customWidth="1"/>
    <col min="263" max="263" width="16.6328125" style="868" customWidth="1"/>
    <col min="264" max="264" width="16.08984375" style="868" customWidth="1"/>
    <col min="265" max="265" width="15.08984375" style="868" customWidth="1"/>
    <col min="266" max="266" width="20" style="868" customWidth="1"/>
    <col min="267" max="267" width="16.6328125" style="868" customWidth="1"/>
    <col min="268" max="268" width="12.08984375" style="868" customWidth="1"/>
    <col min="269" max="515" width="9.08984375" style="868"/>
    <col min="516" max="516" width="4.6328125" style="868" customWidth="1"/>
    <col min="517" max="517" width="11.08984375" style="868" customWidth="1"/>
    <col min="518" max="518" width="23.453125" style="868" customWidth="1"/>
    <col min="519" max="519" width="16.6328125" style="868" customWidth="1"/>
    <col min="520" max="520" width="16.08984375" style="868" customWidth="1"/>
    <col min="521" max="521" width="15.08984375" style="868" customWidth="1"/>
    <col min="522" max="522" width="20" style="868" customWidth="1"/>
    <col min="523" max="523" width="16.6328125" style="868" customWidth="1"/>
    <col min="524" max="524" width="12.08984375" style="868" customWidth="1"/>
    <col min="525" max="771" width="9.08984375" style="868"/>
    <col min="772" max="772" width="4.6328125" style="868" customWidth="1"/>
    <col min="773" max="773" width="11.08984375" style="868" customWidth="1"/>
    <col min="774" max="774" width="23.453125" style="868" customWidth="1"/>
    <col min="775" max="775" width="16.6328125" style="868" customWidth="1"/>
    <col min="776" max="776" width="16.08984375" style="868" customWidth="1"/>
    <col min="777" max="777" width="15.08984375" style="868" customWidth="1"/>
    <col min="778" max="778" width="20" style="868" customWidth="1"/>
    <col min="779" max="779" width="16.6328125" style="868" customWidth="1"/>
    <col min="780" max="780" width="12.08984375" style="868" customWidth="1"/>
    <col min="781" max="1027" width="9.08984375" style="868"/>
    <col min="1028" max="1028" width="4.6328125" style="868" customWidth="1"/>
    <col min="1029" max="1029" width="11.08984375" style="868" customWidth="1"/>
    <col min="1030" max="1030" width="23.453125" style="868" customWidth="1"/>
    <col min="1031" max="1031" width="16.6328125" style="868" customWidth="1"/>
    <col min="1032" max="1032" width="16.08984375" style="868" customWidth="1"/>
    <col min="1033" max="1033" width="15.08984375" style="868" customWidth="1"/>
    <col min="1034" max="1034" width="20" style="868" customWidth="1"/>
    <col min="1035" max="1035" width="16.6328125" style="868" customWidth="1"/>
    <col min="1036" max="1036" width="12.08984375" style="868" customWidth="1"/>
    <col min="1037" max="1283" width="9.08984375" style="868"/>
    <col min="1284" max="1284" width="4.6328125" style="868" customWidth="1"/>
    <col min="1285" max="1285" width="11.08984375" style="868" customWidth="1"/>
    <col min="1286" max="1286" width="23.453125" style="868" customWidth="1"/>
    <col min="1287" max="1287" width="16.6328125" style="868" customWidth="1"/>
    <col min="1288" max="1288" width="16.08984375" style="868" customWidth="1"/>
    <col min="1289" max="1289" width="15.08984375" style="868" customWidth="1"/>
    <col min="1290" max="1290" width="20" style="868" customWidth="1"/>
    <col min="1291" max="1291" width="16.6328125" style="868" customWidth="1"/>
    <col min="1292" max="1292" width="12.08984375" style="868" customWidth="1"/>
    <col min="1293" max="1539" width="9.08984375" style="868"/>
    <col min="1540" max="1540" width="4.6328125" style="868" customWidth="1"/>
    <col min="1541" max="1541" width="11.08984375" style="868" customWidth="1"/>
    <col min="1542" max="1542" width="23.453125" style="868" customWidth="1"/>
    <col min="1543" max="1543" width="16.6328125" style="868" customWidth="1"/>
    <col min="1544" max="1544" width="16.08984375" style="868" customWidth="1"/>
    <col min="1545" max="1545" width="15.08984375" style="868" customWidth="1"/>
    <col min="1546" max="1546" width="20" style="868" customWidth="1"/>
    <col min="1547" max="1547" width="16.6328125" style="868" customWidth="1"/>
    <col min="1548" max="1548" width="12.08984375" style="868" customWidth="1"/>
    <col min="1549" max="1795" width="9.08984375" style="868"/>
    <col min="1796" max="1796" width="4.6328125" style="868" customWidth="1"/>
    <col min="1797" max="1797" width="11.08984375" style="868" customWidth="1"/>
    <col min="1798" max="1798" width="23.453125" style="868" customWidth="1"/>
    <col min="1799" max="1799" width="16.6328125" style="868" customWidth="1"/>
    <col min="1800" max="1800" width="16.08984375" style="868" customWidth="1"/>
    <col min="1801" max="1801" width="15.08984375" style="868" customWidth="1"/>
    <col min="1802" max="1802" width="20" style="868" customWidth="1"/>
    <col min="1803" max="1803" width="16.6328125" style="868" customWidth="1"/>
    <col min="1804" max="1804" width="12.08984375" style="868" customWidth="1"/>
    <col min="1805" max="2051" width="9.08984375" style="868"/>
    <col min="2052" max="2052" width="4.6328125" style="868" customWidth="1"/>
    <col min="2053" max="2053" width="11.08984375" style="868" customWidth="1"/>
    <col min="2054" max="2054" width="23.453125" style="868" customWidth="1"/>
    <col min="2055" max="2055" width="16.6328125" style="868" customWidth="1"/>
    <col min="2056" max="2056" width="16.08984375" style="868" customWidth="1"/>
    <col min="2057" max="2057" width="15.08984375" style="868" customWidth="1"/>
    <col min="2058" max="2058" width="20" style="868" customWidth="1"/>
    <col min="2059" max="2059" width="16.6328125" style="868" customWidth="1"/>
    <col min="2060" max="2060" width="12.08984375" style="868" customWidth="1"/>
    <col min="2061" max="2307" width="9.08984375" style="868"/>
    <col min="2308" max="2308" width="4.6328125" style="868" customWidth="1"/>
    <col min="2309" max="2309" width="11.08984375" style="868" customWidth="1"/>
    <col min="2310" max="2310" width="23.453125" style="868" customWidth="1"/>
    <col min="2311" max="2311" width="16.6328125" style="868" customWidth="1"/>
    <col min="2312" max="2312" width="16.08984375" style="868" customWidth="1"/>
    <col min="2313" max="2313" width="15.08984375" style="868" customWidth="1"/>
    <col min="2314" max="2314" width="20" style="868" customWidth="1"/>
    <col min="2315" max="2315" width="16.6328125" style="868" customWidth="1"/>
    <col min="2316" max="2316" width="12.08984375" style="868" customWidth="1"/>
    <col min="2317" max="2563" width="9.08984375" style="868"/>
    <col min="2564" max="2564" width="4.6328125" style="868" customWidth="1"/>
    <col min="2565" max="2565" width="11.08984375" style="868" customWidth="1"/>
    <col min="2566" max="2566" width="23.453125" style="868" customWidth="1"/>
    <col min="2567" max="2567" width="16.6328125" style="868" customWidth="1"/>
    <col min="2568" max="2568" width="16.08984375" style="868" customWidth="1"/>
    <col min="2569" max="2569" width="15.08984375" style="868" customWidth="1"/>
    <col min="2570" max="2570" width="20" style="868" customWidth="1"/>
    <col min="2571" max="2571" width="16.6328125" style="868" customWidth="1"/>
    <col min="2572" max="2572" width="12.08984375" style="868" customWidth="1"/>
    <col min="2573" max="2819" width="9.08984375" style="868"/>
    <col min="2820" max="2820" width="4.6328125" style="868" customWidth="1"/>
    <col min="2821" max="2821" width="11.08984375" style="868" customWidth="1"/>
    <col min="2822" max="2822" width="23.453125" style="868" customWidth="1"/>
    <col min="2823" max="2823" width="16.6328125" style="868" customWidth="1"/>
    <col min="2824" max="2824" width="16.08984375" style="868" customWidth="1"/>
    <col min="2825" max="2825" width="15.08984375" style="868" customWidth="1"/>
    <col min="2826" max="2826" width="20" style="868" customWidth="1"/>
    <col min="2827" max="2827" width="16.6328125" style="868" customWidth="1"/>
    <col min="2828" max="2828" width="12.08984375" style="868" customWidth="1"/>
    <col min="2829" max="3075" width="9.08984375" style="868"/>
    <col min="3076" max="3076" width="4.6328125" style="868" customWidth="1"/>
    <col min="3077" max="3077" width="11.08984375" style="868" customWidth="1"/>
    <col min="3078" max="3078" width="23.453125" style="868" customWidth="1"/>
    <col min="3079" max="3079" width="16.6328125" style="868" customWidth="1"/>
    <col min="3080" max="3080" width="16.08984375" style="868" customWidth="1"/>
    <col min="3081" max="3081" width="15.08984375" style="868" customWidth="1"/>
    <col min="3082" max="3082" width="20" style="868" customWidth="1"/>
    <col min="3083" max="3083" width="16.6328125" style="868" customWidth="1"/>
    <col min="3084" max="3084" width="12.08984375" style="868" customWidth="1"/>
    <col min="3085" max="3331" width="9.08984375" style="868"/>
    <col min="3332" max="3332" width="4.6328125" style="868" customWidth="1"/>
    <col min="3333" max="3333" width="11.08984375" style="868" customWidth="1"/>
    <col min="3334" max="3334" width="23.453125" style="868" customWidth="1"/>
    <col min="3335" max="3335" width="16.6328125" style="868" customWidth="1"/>
    <col min="3336" max="3336" width="16.08984375" style="868" customWidth="1"/>
    <col min="3337" max="3337" width="15.08984375" style="868" customWidth="1"/>
    <col min="3338" max="3338" width="20" style="868" customWidth="1"/>
    <col min="3339" max="3339" width="16.6328125" style="868" customWidth="1"/>
    <col min="3340" max="3340" width="12.08984375" style="868" customWidth="1"/>
    <col min="3341" max="3587" width="9.08984375" style="868"/>
    <col min="3588" max="3588" width="4.6328125" style="868" customWidth="1"/>
    <col min="3589" max="3589" width="11.08984375" style="868" customWidth="1"/>
    <col min="3590" max="3590" width="23.453125" style="868" customWidth="1"/>
    <col min="3591" max="3591" width="16.6328125" style="868" customWidth="1"/>
    <col min="3592" max="3592" width="16.08984375" style="868" customWidth="1"/>
    <col min="3593" max="3593" width="15.08984375" style="868" customWidth="1"/>
    <col min="3594" max="3594" width="20" style="868" customWidth="1"/>
    <col min="3595" max="3595" width="16.6328125" style="868" customWidth="1"/>
    <col min="3596" max="3596" width="12.08984375" style="868" customWidth="1"/>
    <col min="3597" max="3843" width="9.08984375" style="868"/>
    <col min="3844" max="3844" width="4.6328125" style="868" customWidth="1"/>
    <col min="3845" max="3845" width="11.08984375" style="868" customWidth="1"/>
    <col min="3846" max="3846" width="23.453125" style="868" customWidth="1"/>
    <col min="3847" max="3847" width="16.6328125" style="868" customWidth="1"/>
    <col min="3848" max="3848" width="16.08984375" style="868" customWidth="1"/>
    <col min="3849" max="3849" width="15.08984375" style="868" customWidth="1"/>
    <col min="3850" max="3850" width="20" style="868" customWidth="1"/>
    <col min="3851" max="3851" width="16.6328125" style="868" customWidth="1"/>
    <col min="3852" max="3852" width="12.08984375" style="868" customWidth="1"/>
    <col min="3853" max="4099" width="9.08984375" style="868"/>
    <col min="4100" max="4100" width="4.6328125" style="868" customWidth="1"/>
    <col min="4101" max="4101" width="11.08984375" style="868" customWidth="1"/>
    <col min="4102" max="4102" width="23.453125" style="868" customWidth="1"/>
    <col min="4103" max="4103" width="16.6328125" style="868" customWidth="1"/>
    <col min="4104" max="4104" width="16.08984375" style="868" customWidth="1"/>
    <col min="4105" max="4105" width="15.08984375" style="868" customWidth="1"/>
    <col min="4106" max="4106" width="20" style="868" customWidth="1"/>
    <col min="4107" max="4107" width="16.6328125" style="868" customWidth="1"/>
    <col min="4108" max="4108" width="12.08984375" style="868" customWidth="1"/>
    <col min="4109" max="4355" width="9.08984375" style="868"/>
    <col min="4356" max="4356" width="4.6328125" style="868" customWidth="1"/>
    <col min="4357" max="4357" width="11.08984375" style="868" customWidth="1"/>
    <col min="4358" max="4358" width="23.453125" style="868" customWidth="1"/>
    <col min="4359" max="4359" width="16.6328125" style="868" customWidth="1"/>
    <col min="4360" max="4360" width="16.08984375" style="868" customWidth="1"/>
    <col min="4361" max="4361" width="15.08984375" style="868" customWidth="1"/>
    <col min="4362" max="4362" width="20" style="868" customWidth="1"/>
    <col min="4363" max="4363" width="16.6328125" style="868" customWidth="1"/>
    <col min="4364" max="4364" width="12.08984375" style="868" customWidth="1"/>
    <col min="4365" max="4611" width="9.08984375" style="868"/>
    <col min="4612" max="4612" width="4.6328125" style="868" customWidth="1"/>
    <col min="4613" max="4613" width="11.08984375" style="868" customWidth="1"/>
    <col min="4614" max="4614" width="23.453125" style="868" customWidth="1"/>
    <col min="4615" max="4615" width="16.6328125" style="868" customWidth="1"/>
    <col min="4616" max="4616" width="16.08984375" style="868" customWidth="1"/>
    <col min="4617" max="4617" width="15.08984375" style="868" customWidth="1"/>
    <col min="4618" max="4618" width="20" style="868" customWidth="1"/>
    <col min="4619" max="4619" width="16.6328125" style="868" customWidth="1"/>
    <col min="4620" max="4620" width="12.08984375" style="868" customWidth="1"/>
    <col min="4621" max="4867" width="9.08984375" style="868"/>
    <col min="4868" max="4868" width="4.6328125" style="868" customWidth="1"/>
    <col min="4869" max="4869" width="11.08984375" style="868" customWidth="1"/>
    <col min="4870" max="4870" width="23.453125" style="868" customWidth="1"/>
    <col min="4871" max="4871" width="16.6328125" style="868" customWidth="1"/>
    <col min="4872" max="4872" width="16.08984375" style="868" customWidth="1"/>
    <col min="4873" max="4873" width="15.08984375" style="868" customWidth="1"/>
    <col min="4874" max="4874" width="20" style="868" customWidth="1"/>
    <col min="4875" max="4875" width="16.6328125" style="868" customWidth="1"/>
    <col min="4876" max="4876" width="12.08984375" style="868" customWidth="1"/>
    <col min="4877" max="5123" width="9.08984375" style="868"/>
    <col min="5124" max="5124" width="4.6328125" style="868" customWidth="1"/>
    <col min="5125" max="5125" width="11.08984375" style="868" customWidth="1"/>
    <col min="5126" max="5126" width="23.453125" style="868" customWidth="1"/>
    <col min="5127" max="5127" width="16.6328125" style="868" customWidth="1"/>
    <col min="5128" max="5128" width="16.08984375" style="868" customWidth="1"/>
    <col min="5129" max="5129" width="15.08984375" style="868" customWidth="1"/>
    <col min="5130" max="5130" width="20" style="868" customWidth="1"/>
    <col min="5131" max="5131" width="16.6328125" style="868" customWidth="1"/>
    <col min="5132" max="5132" width="12.08984375" style="868" customWidth="1"/>
    <col min="5133" max="5379" width="9.08984375" style="868"/>
    <col min="5380" max="5380" width="4.6328125" style="868" customWidth="1"/>
    <col min="5381" max="5381" width="11.08984375" style="868" customWidth="1"/>
    <col min="5382" max="5382" width="23.453125" style="868" customWidth="1"/>
    <col min="5383" max="5383" width="16.6328125" style="868" customWidth="1"/>
    <col min="5384" max="5384" width="16.08984375" style="868" customWidth="1"/>
    <col min="5385" max="5385" width="15.08984375" style="868" customWidth="1"/>
    <col min="5386" max="5386" width="20" style="868" customWidth="1"/>
    <col min="5387" max="5387" width="16.6328125" style="868" customWidth="1"/>
    <col min="5388" max="5388" width="12.08984375" style="868" customWidth="1"/>
    <col min="5389" max="5635" width="9.08984375" style="868"/>
    <col min="5636" max="5636" width="4.6328125" style="868" customWidth="1"/>
    <col min="5637" max="5637" width="11.08984375" style="868" customWidth="1"/>
    <col min="5638" max="5638" width="23.453125" style="868" customWidth="1"/>
    <col min="5639" max="5639" width="16.6328125" style="868" customWidth="1"/>
    <col min="5640" max="5640" width="16.08984375" style="868" customWidth="1"/>
    <col min="5641" max="5641" width="15.08984375" style="868" customWidth="1"/>
    <col min="5642" max="5642" width="20" style="868" customWidth="1"/>
    <col min="5643" max="5643" width="16.6328125" style="868" customWidth="1"/>
    <col min="5644" max="5644" width="12.08984375" style="868" customWidth="1"/>
    <col min="5645" max="5891" width="9.08984375" style="868"/>
    <col min="5892" max="5892" width="4.6328125" style="868" customWidth="1"/>
    <col min="5893" max="5893" width="11.08984375" style="868" customWidth="1"/>
    <col min="5894" max="5894" width="23.453125" style="868" customWidth="1"/>
    <col min="5895" max="5895" width="16.6328125" style="868" customWidth="1"/>
    <col min="5896" max="5896" width="16.08984375" style="868" customWidth="1"/>
    <col min="5897" max="5897" width="15.08984375" style="868" customWidth="1"/>
    <col min="5898" max="5898" width="20" style="868" customWidth="1"/>
    <col min="5899" max="5899" width="16.6328125" style="868" customWidth="1"/>
    <col min="5900" max="5900" width="12.08984375" style="868" customWidth="1"/>
    <col min="5901" max="6147" width="9.08984375" style="868"/>
    <col min="6148" max="6148" width="4.6328125" style="868" customWidth="1"/>
    <col min="6149" max="6149" width="11.08984375" style="868" customWidth="1"/>
    <col min="6150" max="6150" width="23.453125" style="868" customWidth="1"/>
    <col min="6151" max="6151" width="16.6328125" style="868" customWidth="1"/>
    <col min="6152" max="6152" width="16.08984375" style="868" customWidth="1"/>
    <col min="6153" max="6153" width="15.08984375" style="868" customWidth="1"/>
    <col min="6154" max="6154" width="20" style="868" customWidth="1"/>
    <col min="6155" max="6155" width="16.6328125" style="868" customWidth="1"/>
    <col min="6156" max="6156" width="12.08984375" style="868" customWidth="1"/>
    <col min="6157" max="6403" width="9.08984375" style="868"/>
    <col min="6404" max="6404" width="4.6328125" style="868" customWidth="1"/>
    <col min="6405" max="6405" width="11.08984375" style="868" customWidth="1"/>
    <col min="6406" max="6406" width="23.453125" style="868" customWidth="1"/>
    <col min="6407" max="6407" width="16.6328125" style="868" customWidth="1"/>
    <col min="6408" max="6408" width="16.08984375" style="868" customWidth="1"/>
    <col min="6409" max="6409" width="15.08984375" style="868" customWidth="1"/>
    <col min="6410" max="6410" width="20" style="868" customWidth="1"/>
    <col min="6411" max="6411" width="16.6328125" style="868" customWidth="1"/>
    <col min="6412" max="6412" width="12.08984375" style="868" customWidth="1"/>
    <col min="6413" max="6659" width="9.08984375" style="868"/>
    <col min="6660" max="6660" width="4.6328125" style="868" customWidth="1"/>
    <col min="6661" max="6661" width="11.08984375" style="868" customWidth="1"/>
    <col min="6662" max="6662" width="23.453125" style="868" customWidth="1"/>
    <col min="6663" max="6663" width="16.6328125" style="868" customWidth="1"/>
    <col min="6664" max="6664" width="16.08984375" style="868" customWidth="1"/>
    <col min="6665" max="6665" width="15.08984375" style="868" customWidth="1"/>
    <col min="6666" max="6666" width="20" style="868" customWidth="1"/>
    <col min="6667" max="6667" width="16.6328125" style="868" customWidth="1"/>
    <col min="6668" max="6668" width="12.08984375" style="868" customWidth="1"/>
    <col min="6669" max="6915" width="9.08984375" style="868"/>
    <col min="6916" max="6916" width="4.6328125" style="868" customWidth="1"/>
    <col min="6917" max="6917" width="11.08984375" style="868" customWidth="1"/>
    <col min="6918" max="6918" width="23.453125" style="868" customWidth="1"/>
    <col min="6919" max="6919" width="16.6328125" style="868" customWidth="1"/>
    <col min="6920" max="6920" width="16.08984375" style="868" customWidth="1"/>
    <col min="6921" max="6921" width="15.08984375" style="868" customWidth="1"/>
    <col min="6922" max="6922" width="20" style="868" customWidth="1"/>
    <col min="6923" max="6923" width="16.6328125" style="868" customWidth="1"/>
    <col min="6924" max="6924" width="12.08984375" style="868" customWidth="1"/>
    <col min="6925" max="7171" width="9.08984375" style="868"/>
    <col min="7172" max="7172" width="4.6328125" style="868" customWidth="1"/>
    <col min="7173" max="7173" width="11.08984375" style="868" customWidth="1"/>
    <col min="7174" max="7174" width="23.453125" style="868" customWidth="1"/>
    <col min="7175" max="7175" width="16.6328125" style="868" customWidth="1"/>
    <col min="7176" max="7176" width="16.08984375" style="868" customWidth="1"/>
    <col min="7177" max="7177" width="15.08984375" style="868" customWidth="1"/>
    <col min="7178" max="7178" width="20" style="868" customWidth="1"/>
    <col min="7179" max="7179" width="16.6328125" style="868" customWidth="1"/>
    <col min="7180" max="7180" width="12.08984375" style="868" customWidth="1"/>
    <col min="7181" max="7427" width="9.08984375" style="868"/>
    <col min="7428" max="7428" width="4.6328125" style="868" customWidth="1"/>
    <col min="7429" max="7429" width="11.08984375" style="868" customWidth="1"/>
    <col min="7430" max="7430" width="23.453125" style="868" customWidth="1"/>
    <col min="7431" max="7431" width="16.6328125" style="868" customWidth="1"/>
    <col min="7432" max="7432" width="16.08984375" style="868" customWidth="1"/>
    <col min="7433" max="7433" width="15.08984375" style="868" customWidth="1"/>
    <col min="7434" max="7434" width="20" style="868" customWidth="1"/>
    <col min="7435" max="7435" width="16.6328125" style="868" customWidth="1"/>
    <col min="7436" max="7436" width="12.08984375" style="868" customWidth="1"/>
    <col min="7437" max="7683" width="9.08984375" style="868"/>
    <col min="7684" max="7684" width="4.6328125" style="868" customWidth="1"/>
    <col min="7685" max="7685" width="11.08984375" style="868" customWidth="1"/>
    <col min="7686" max="7686" width="23.453125" style="868" customWidth="1"/>
    <col min="7687" max="7687" width="16.6328125" style="868" customWidth="1"/>
    <col min="7688" max="7688" width="16.08984375" style="868" customWidth="1"/>
    <col min="7689" max="7689" width="15.08984375" style="868" customWidth="1"/>
    <col min="7690" max="7690" width="20" style="868" customWidth="1"/>
    <col min="7691" max="7691" width="16.6328125" style="868" customWidth="1"/>
    <col min="7692" max="7692" width="12.08984375" style="868" customWidth="1"/>
    <col min="7693" max="7939" width="9.08984375" style="868"/>
    <col min="7940" max="7940" width="4.6328125" style="868" customWidth="1"/>
    <col min="7941" max="7941" width="11.08984375" style="868" customWidth="1"/>
    <col min="7942" max="7942" width="23.453125" style="868" customWidth="1"/>
    <col min="7943" max="7943" width="16.6328125" style="868" customWidth="1"/>
    <col min="7944" max="7944" width="16.08984375" style="868" customWidth="1"/>
    <col min="7945" max="7945" width="15.08984375" style="868" customWidth="1"/>
    <col min="7946" max="7946" width="20" style="868" customWidth="1"/>
    <col min="7947" max="7947" width="16.6328125" style="868" customWidth="1"/>
    <col min="7948" max="7948" width="12.08984375" style="868" customWidth="1"/>
    <col min="7949" max="8195" width="9.08984375" style="868"/>
    <col min="8196" max="8196" width="4.6328125" style="868" customWidth="1"/>
    <col min="8197" max="8197" width="11.08984375" style="868" customWidth="1"/>
    <col min="8198" max="8198" width="23.453125" style="868" customWidth="1"/>
    <col min="8199" max="8199" width="16.6328125" style="868" customWidth="1"/>
    <col min="8200" max="8200" width="16.08984375" style="868" customWidth="1"/>
    <col min="8201" max="8201" width="15.08984375" style="868" customWidth="1"/>
    <col min="8202" max="8202" width="20" style="868" customWidth="1"/>
    <col min="8203" max="8203" width="16.6328125" style="868" customWidth="1"/>
    <col min="8204" max="8204" width="12.08984375" style="868" customWidth="1"/>
    <col min="8205" max="8451" width="9.08984375" style="868"/>
    <col min="8452" max="8452" width="4.6328125" style="868" customWidth="1"/>
    <col min="8453" max="8453" width="11.08984375" style="868" customWidth="1"/>
    <col min="8454" max="8454" width="23.453125" style="868" customWidth="1"/>
    <col min="8455" max="8455" width="16.6328125" style="868" customWidth="1"/>
    <col min="8456" max="8456" width="16.08984375" style="868" customWidth="1"/>
    <col min="8457" max="8457" width="15.08984375" style="868" customWidth="1"/>
    <col min="8458" max="8458" width="20" style="868" customWidth="1"/>
    <col min="8459" max="8459" width="16.6328125" style="868" customWidth="1"/>
    <col min="8460" max="8460" width="12.08984375" style="868" customWidth="1"/>
    <col min="8461" max="8707" width="9.08984375" style="868"/>
    <col min="8708" max="8708" width="4.6328125" style="868" customWidth="1"/>
    <col min="8709" max="8709" width="11.08984375" style="868" customWidth="1"/>
    <col min="8710" max="8710" width="23.453125" style="868" customWidth="1"/>
    <col min="8711" max="8711" width="16.6328125" style="868" customWidth="1"/>
    <col min="8712" max="8712" width="16.08984375" style="868" customWidth="1"/>
    <col min="8713" max="8713" width="15.08984375" style="868" customWidth="1"/>
    <col min="8714" max="8714" width="20" style="868" customWidth="1"/>
    <col min="8715" max="8715" width="16.6328125" style="868" customWidth="1"/>
    <col min="8716" max="8716" width="12.08984375" style="868" customWidth="1"/>
    <col min="8717" max="8963" width="9.08984375" style="868"/>
    <col min="8964" max="8964" width="4.6328125" style="868" customWidth="1"/>
    <col min="8965" max="8965" width="11.08984375" style="868" customWidth="1"/>
    <col min="8966" max="8966" width="23.453125" style="868" customWidth="1"/>
    <col min="8967" max="8967" width="16.6328125" style="868" customWidth="1"/>
    <col min="8968" max="8968" width="16.08984375" style="868" customWidth="1"/>
    <col min="8969" max="8969" width="15.08984375" style="868" customWidth="1"/>
    <col min="8970" max="8970" width="20" style="868" customWidth="1"/>
    <col min="8971" max="8971" width="16.6328125" style="868" customWidth="1"/>
    <col min="8972" max="8972" width="12.08984375" style="868" customWidth="1"/>
    <col min="8973" max="9219" width="9.08984375" style="868"/>
    <col min="9220" max="9220" width="4.6328125" style="868" customWidth="1"/>
    <col min="9221" max="9221" width="11.08984375" style="868" customWidth="1"/>
    <col min="9222" max="9222" width="23.453125" style="868" customWidth="1"/>
    <col min="9223" max="9223" width="16.6328125" style="868" customWidth="1"/>
    <col min="9224" max="9224" width="16.08984375" style="868" customWidth="1"/>
    <col min="9225" max="9225" width="15.08984375" style="868" customWidth="1"/>
    <col min="9226" max="9226" width="20" style="868" customWidth="1"/>
    <col min="9227" max="9227" width="16.6328125" style="868" customWidth="1"/>
    <col min="9228" max="9228" width="12.08984375" style="868" customWidth="1"/>
    <col min="9229" max="9475" width="9.08984375" style="868"/>
    <col min="9476" max="9476" width="4.6328125" style="868" customWidth="1"/>
    <col min="9477" max="9477" width="11.08984375" style="868" customWidth="1"/>
    <col min="9478" max="9478" width="23.453125" style="868" customWidth="1"/>
    <col min="9479" max="9479" width="16.6328125" style="868" customWidth="1"/>
    <col min="9480" max="9480" width="16.08984375" style="868" customWidth="1"/>
    <col min="9481" max="9481" width="15.08984375" style="868" customWidth="1"/>
    <col min="9482" max="9482" width="20" style="868" customWidth="1"/>
    <col min="9483" max="9483" width="16.6328125" style="868" customWidth="1"/>
    <col min="9484" max="9484" width="12.08984375" style="868" customWidth="1"/>
    <col min="9485" max="9731" width="9.08984375" style="868"/>
    <col min="9732" max="9732" width="4.6328125" style="868" customWidth="1"/>
    <col min="9733" max="9733" width="11.08984375" style="868" customWidth="1"/>
    <col min="9734" max="9734" width="23.453125" style="868" customWidth="1"/>
    <col min="9735" max="9735" width="16.6328125" style="868" customWidth="1"/>
    <col min="9736" max="9736" width="16.08984375" style="868" customWidth="1"/>
    <col min="9737" max="9737" width="15.08984375" style="868" customWidth="1"/>
    <col min="9738" max="9738" width="20" style="868" customWidth="1"/>
    <col min="9739" max="9739" width="16.6328125" style="868" customWidth="1"/>
    <col min="9740" max="9740" width="12.08984375" style="868" customWidth="1"/>
    <col min="9741" max="9987" width="9.08984375" style="868"/>
    <col min="9988" max="9988" width="4.6328125" style="868" customWidth="1"/>
    <col min="9989" max="9989" width="11.08984375" style="868" customWidth="1"/>
    <col min="9990" max="9990" width="23.453125" style="868" customWidth="1"/>
    <col min="9991" max="9991" width="16.6328125" style="868" customWidth="1"/>
    <col min="9992" max="9992" width="16.08984375" style="868" customWidth="1"/>
    <col min="9993" max="9993" width="15.08984375" style="868" customWidth="1"/>
    <col min="9994" max="9994" width="20" style="868" customWidth="1"/>
    <col min="9995" max="9995" width="16.6328125" style="868" customWidth="1"/>
    <col min="9996" max="9996" width="12.08984375" style="868" customWidth="1"/>
    <col min="9997" max="10243" width="9.08984375" style="868"/>
    <col min="10244" max="10244" width="4.6328125" style="868" customWidth="1"/>
    <col min="10245" max="10245" width="11.08984375" style="868" customWidth="1"/>
    <col min="10246" max="10246" width="23.453125" style="868" customWidth="1"/>
    <col min="10247" max="10247" width="16.6328125" style="868" customWidth="1"/>
    <col min="10248" max="10248" width="16.08984375" style="868" customWidth="1"/>
    <col min="10249" max="10249" width="15.08984375" style="868" customWidth="1"/>
    <col min="10250" max="10250" width="20" style="868" customWidth="1"/>
    <col min="10251" max="10251" width="16.6328125" style="868" customWidth="1"/>
    <col min="10252" max="10252" width="12.08984375" style="868" customWidth="1"/>
    <col min="10253" max="10499" width="9.08984375" style="868"/>
    <col min="10500" max="10500" width="4.6328125" style="868" customWidth="1"/>
    <col min="10501" max="10501" width="11.08984375" style="868" customWidth="1"/>
    <col min="10502" max="10502" width="23.453125" style="868" customWidth="1"/>
    <col min="10503" max="10503" width="16.6328125" style="868" customWidth="1"/>
    <col min="10504" max="10504" width="16.08984375" style="868" customWidth="1"/>
    <col min="10505" max="10505" width="15.08984375" style="868" customWidth="1"/>
    <col min="10506" max="10506" width="20" style="868" customWidth="1"/>
    <col min="10507" max="10507" width="16.6328125" style="868" customWidth="1"/>
    <col min="10508" max="10508" width="12.08984375" style="868" customWidth="1"/>
    <col min="10509" max="10755" width="9.08984375" style="868"/>
    <col min="10756" max="10756" width="4.6328125" style="868" customWidth="1"/>
    <col min="10757" max="10757" width="11.08984375" style="868" customWidth="1"/>
    <col min="10758" max="10758" width="23.453125" style="868" customWidth="1"/>
    <col min="10759" max="10759" width="16.6328125" style="868" customWidth="1"/>
    <col min="10760" max="10760" width="16.08984375" style="868" customWidth="1"/>
    <col min="10761" max="10761" width="15.08984375" style="868" customWidth="1"/>
    <col min="10762" max="10762" width="20" style="868" customWidth="1"/>
    <col min="10763" max="10763" width="16.6328125" style="868" customWidth="1"/>
    <col min="10764" max="10764" width="12.08984375" style="868" customWidth="1"/>
    <col min="10765" max="11011" width="9.08984375" style="868"/>
    <col min="11012" max="11012" width="4.6328125" style="868" customWidth="1"/>
    <col min="11013" max="11013" width="11.08984375" style="868" customWidth="1"/>
    <col min="11014" max="11014" width="23.453125" style="868" customWidth="1"/>
    <col min="11015" max="11015" width="16.6328125" style="868" customWidth="1"/>
    <col min="11016" max="11016" width="16.08984375" style="868" customWidth="1"/>
    <col min="11017" max="11017" width="15.08984375" style="868" customWidth="1"/>
    <col min="11018" max="11018" width="20" style="868" customWidth="1"/>
    <col min="11019" max="11019" width="16.6328125" style="868" customWidth="1"/>
    <col min="11020" max="11020" width="12.08984375" style="868" customWidth="1"/>
    <col min="11021" max="11267" width="9.08984375" style="868"/>
    <col min="11268" max="11268" width="4.6328125" style="868" customWidth="1"/>
    <col min="11269" max="11269" width="11.08984375" style="868" customWidth="1"/>
    <col min="11270" max="11270" width="23.453125" style="868" customWidth="1"/>
    <col min="11271" max="11271" width="16.6328125" style="868" customWidth="1"/>
    <col min="11272" max="11272" width="16.08984375" style="868" customWidth="1"/>
    <col min="11273" max="11273" width="15.08984375" style="868" customWidth="1"/>
    <col min="11274" max="11274" width="20" style="868" customWidth="1"/>
    <col min="11275" max="11275" width="16.6328125" style="868" customWidth="1"/>
    <col min="11276" max="11276" width="12.08984375" style="868" customWidth="1"/>
    <col min="11277" max="11523" width="9.08984375" style="868"/>
    <col min="11524" max="11524" width="4.6328125" style="868" customWidth="1"/>
    <col min="11525" max="11525" width="11.08984375" style="868" customWidth="1"/>
    <col min="11526" max="11526" width="23.453125" style="868" customWidth="1"/>
    <col min="11527" max="11527" width="16.6328125" style="868" customWidth="1"/>
    <col min="11528" max="11528" width="16.08984375" style="868" customWidth="1"/>
    <col min="11529" max="11529" width="15.08984375" style="868" customWidth="1"/>
    <col min="11530" max="11530" width="20" style="868" customWidth="1"/>
    <col min="11531" max="11531" width="16.6328125" style="868" customWidth="1"/>
    <col min="11532" max="11532" width="12.08984375" style="868" customWidth="1"/>
    <col min="11533" max="11779" width="9.08984375" style="868"/>
    <col min="11780" max="11780" width="4.6328125" style="868" customWidth="1"/>
    <col min="11781" max="11781" width="11.08984375" style="868" customWidth="1"/>
    <col min="11782" max="11782" width="23.453125" style="868" customWidth="1"/>
    <col min="11783" max="11783" width="16.6328125" style="868" customWidth="1"/>
    <col min="11784" max="11784" width="16.08984375" style="868" customWidth="1"/>
    <col min="11785" max="11785" width="15.08984375" style="868" customWidth="1"/>
    <col min="11786" max="11786" width="20" style="868" customWidth="1"/>
    <col min="11787" max="11787" width="16.6328125" style="868" customWidth="1"/>
    <col min="11788" max="11788" width="12.08984375" style="868" customWidth="1"/>
    <col min="11789" max="12035" width="9.08984375" style="868"/>
    <col min="12036" max="12036" width="4.6328125" style="868" customWidth="1"/>
    <col min="12037" max="12037" width="11.08984375" style="868" customWidth="1"/>
    <col min="12038" max="12038" width="23.453125" style="868" customWidth="1"/>
    <col min="12039" max="12039" width="16.6328125" style="868" customWidth="1"/>
    <col min="12040" max="12040" width="16.08984375" style="868" customWidth="1"/>
    <col min="12041" max="12041" width="15.08984375" style="868" customWidth="1"/>
    <col min="12042" max="12042" width="20" style="868" customWidth="1"/>
    <col min="12043" max="12043" width="16.6328125" style="868" customWidth="1"/>
    <col min="12044" max="12044" width="12.08984375" style="868" customWidth="1"/>
    <col min="12045" max="12291" width="9.08984375" style="868"/>
    <col min="12292" max="12292" width="4.6328125" style="868" customWidth="1"/>
    <col min="12293" max="12293" width="11.08984375" style="868" customWidth="1"/>
    <col min="12294" max="12294" width="23.453125" style="868" customWidth="1"/>
    <col min="12295" max="12295" width="16.6328125" style="868" customWidth="1"/>
    <col min="12296" max="12296" width="16.08984375" style="868" customWidth="1"/>
    <col min="12297" max="12297" width="15.08984375" style="868" customWidth="1"/>
    <col min="12298" max="12298" width="20" style="868" customWidth="1"/>
    <col min="12299" max="12299" width="16.6328125" style="868" customWidth="1"/>
    <col min="12300" max="12300" width="12.08984375" style="868" customWidth="1"/>
    <col min="12301" max="12547" width="9.08984375" style="868"/>
    <col min="12548" max="12548" width="4.6328125" style="868" customWidth="1"/>
    <col min="12549" max="12549" width="11.08984375" style="868" customWidth="1"/>
    <col min="12550" max="12550" width="23.453125" style="868" customWidth="1"/>
    <col min="12551" max="12551" width="16.6328125" style="868" customWidth="1"/>
    <col min="12552" max="12552" width="16.08984375" style="868" customWidth="1"/>
    <col min="12553" max="12553" width="15.08984375" style="868" customWidth="1"/>
    <col min="12554" max="12554" width="20" style="868" customWidth="1"/>
    <col min="12555" max="12555" width="16.6328125" style="868" customWidth="1"/>
    <col min="12556" max="12556" width="12.08984375" style="868" customWidth="1"/>
    <col min="12557" max="12803" width="9.08984375" style="868"/>
    <col min="12804" max="12804" width="4.6328125" style="868" customWidth="1"/>
    <col min="12805" max="12805" width="11.08984375" style="868" customWidth="1"/>
    <col min="12806" max="12806" width="23.453125" style="868" customWidth="1"/>
    <col min="12807" max="12807" width="16.6328125" style="868" customWidth="1"/>
    <col min="12808" max="12808" width="16.08984375" style="868" customWidth="1"/>
    <col min="12809" max="12809" width="15.08984375" style="868" customWidth="1"/>
    <col min="12810" max="12810" width="20" style="868" customWidth="1"/>
    <col min="12811" max="12811" width="16.6328125" style="868" customWidth="1"/>
    <col min="12812" max="12812" width="12.08984375" style="868" customWidth="1"/>
    <col min="12813" max="13059" width="9.08984375" style="868"/>
    <col min="13060" max="13060" width="4.6328125" style="868" customWidth="1"/>
    <col min="13061" max="13061" width="11.08984375" style="868" customWidth="1"/>
    <col min="13062" max="13062" width="23.453125" style="868" customWidth="1"/>
    <col min="13063" max="13063" width="16.6328125" style="868" customWidth="1"/>
    <col min="13064" max="13064" width="16.08984375" style="868" customWidth="1"/>
    <col min="13065" max="13065" width="15.08984375" style="868" customWidth="1"/>
    <col min="13066" max="13066" width="20" style="868" customWidth="1"/>
    <col min="13067" max="13067" width="16.6328125" style="868" customWidth="1"/>
    <col min="13068" max="13068" width="12.08984375" style="868" customWidth="1"/>
    <col min="13069" max="13315" width="9.08984375" style="868"/>
    <col min="13316" max="13316" width="4.6328125" style="868" customWidth="1"/>
    <col min="13317" max="13317" width="11.08984375" style="868" customWidth="1"/>
    <col min="13318" max="13318" width="23.453125" style="868" customWidth="1"/>
    <col min="13319" max="13319" width="16.6328125" style="868" customWidth="1"/>
    <col min="13320" max="13320" width="16.08984375" style="868" customWidth="1"/>
    <col min="13321" max="13321" width="15.08984375" style="868" customWidth="1"/>
    <col min="13322" max="13322" width="20" style="868" customWidth="1"/>
    <col min="13323" max="13323" width="16.6328125" style="868" customWidth="1"/>
    <col min="13324" max="13324" width="12.08984375" style="868" customWidth="1"/>
    <col min="13325" max="13571" width="9.08984375" style="868"/>
    <col min="13572" max="13572" width="4.6328125" style="868" customWidth="1"/>
    <col min="13573" max="13573" width="11.08984375" style="868" customWidth="1"/>
    <col min="13574" max="13574" width="23.453125" style="868" customWidth="1"/>
    <col min="13575" max="13575" width="16.6328125" style="868" customWidth="1"/>
    <col min="13576" max="13576" width="16.08984375" style="868" customWidth="1"/>
    <col min="13577" max="13577" width="15.08984375" style="868" customWidth="1"/>
    <col min="13578" max="13578" width="20" style="868" customWidth="1"/>
    <col min="13579" max="13579" width="16.6328125" style="868" customWidth="1"/>
    <col min="13580" max="13580" width="12.08984375" style="868" customWidth="1"/>
    <col min="13581" max="13827" width="9.08984375" style="868"/>
    <col min="13828" max="13828" width="4.6328125" style="868" customWidth="1"/>
    <col min="13829" max="13829" width="11.08984375" style="868" customWidth="1"/>
    <col min="13830" max="13830" width="23.453125" style="868" customWidth="1"/>
    <col min="13831" max="13831" width="16.6328125" style="868" customWidth="1"/>
    <col min="13832" max="13832" width="16.08984375" style="868" customWidth="1"/>
    <col min="13833" max="13833" width="15.08984375" style="868" customWidth="1"/>
    <col min="13834" max="13834" width="20" style="868" customWidth="1"/>
    <col min="13835" max="13835" width="16.6328125" style="868" customWidth="1"/>
    <col min="13836" max="13836" width="12.08984375" style="868" customWidth="1"/>
    <col min="13837" max="14083" width="9.08984375" style="868"/>
    <col min="14084" max="14084" width="4.6328125" style="868" customWidth="1"/>
    <col min="14085" max="14085" width="11.08984375" style="868" customWidth="1"/>
    <col min="14086" max="14086" width="23.453125" style="868" customWidth="1"/>
    <col min="14087" max="14087" width="16.6328125" style="868" customWidth="1"/>
    <col min="14088" max="14088" width="16.08984375" style="868" customWidth="1"/>
    <col min="14089" max="14089" width="15.08984375" style="868" customWidth="1"/>
    <col min="14090" max="14090" width="20" style="868" customWidth="1"/>
    <col min="14091" max="14091" width="16.6328125" style="868" customWidth="1"/>
    <col min="14092" max="14092" width="12.08984375" style="868" customWidth="1"/>
    <col min="14093" max="14339" width="9.08984375" style="868"/>
    <col min="14340" max="14340" width="4.6328125" style="868" customWidth="1"/>
    <col min="14341" max="14341" width="11.08984375" style="868" customWidth="1"/>
    <col min="14342" max="14342" width="23.453125" style="868" customWidth="1"/>
    <col min="14343" max="14343" width="16.6328125" style="868" customWidth="1"/>
    <col min="14344" max="14344" width="16.08984375" style="868" customWidth="1"/>
    <col min="14345" max="14345" width="15.08984375" style="868" customWidth="1"/>
    <col min="14346" max="14346" width="20" style="868" customWidth="1"/>
    <col min="14347" max="14347" width="16.6328125" style="868" customWidth="1"/>
    <col min="14348" max="14348" width="12.08984375" style="868" customWidth="1"/>
    <col min="14349" max="14595" width="9.08984375" style="868"/>
    <col min="14596" max="14596" width="4.6328125" style="868" customWidth="1"/>
    <col min="14597" max="14597" width="11.08984375" style="868" customWidth="1"/>
    <col min="14598" max="14598" width="23.453125" style="868" customWidth="1"/>
    <col min="14599" max="14599" width="16.6328125" style="868" customWidth="1"/>
    <col min="14600" max="14600" width="16.08984375" style="868" customWidth="1"/>
    <col min="14601" max="14601" width="15.08984375" style="868" customWidth="1"/>
    <col min="14602" max="14602" width="20" style="868" customWidth="1"/>
    <col min="14603" max="14603" width="16.6328125" style="868" customWidth="1"/>
    <col min="14604" max="14604" width="12.08984375" style="868" customWidth="1"/>
    <col min="14605" max="14851" width="9.08984375" style="868"/>
    <col min="14852" max="14852" width="4.6328125" style="868" customWidth="1"/>
    <col min="14853" max="14853" width="11.08984375" style="868" customWidth="1"/>
    <col min="14854" max="14854" width="23.453125" style="868" customWidth="1"/>
    <col min="14855" max="14855" width="16.6328125" style="868" customWidth="1"/>
    <col min="14856" max="14856" width="16.08984375" style="868" customWidth="1"/>
    <col min="14857" max="14857" width="15.08984375" style="868" customWidth="1"/>
    <col min="14858" max="14858" width="20" style="868" customWidth="1"/>
    <col min="14859" max="14859" width="16.6328125" style="868" customWidth="1"/>
    <col min="14860" max="14860" width="12.08984375" style="868" customWidth="1"/>
    <col min="14861" max="15107" width="9.08984375" style="868"/>
    <col min="15108" max="15108" width="4.6328125" style="868" customWidth="1"/>
    <col min="15109" max="15109" width="11.08984375" style="868" customWidth="1"/>
    <col min="15110" max="15110" width="23.453125" style="868" customWidth="1"/>
    <col min="15111" max="15111" width="16.6328125" style="868" customWidth="1"/>
    <col min="15112" max="15112" width="16.08984375" style="868" customWidth="1"/>
    <col min="15113" max="15113" width="15.08984375" style="868" customWidth="1"/>
    <col min="15114" max="15114" width="20" style="868" customWidth="1"/>
    <col min="15115" max="15115" width="16.6328125" style="868" customWidth="1"/>
    <col min="15116" max="15116" width="12.08984375" style="868" customWidth="1"/>
    <col min="15117" max="15363" width="9.08984375" style="868"/>
    <col min="15364" max="15364" width="4.6328125" style="868" customWidth="1"/>
    <col min="15365" max="15365" width="11.08984375" style="868" customWidth="1"/>
    <col min="15366" max="15366" width="23.453125" style="868" customWidth="1"/>
    <col min="15367" max="15367" width="16.6328125" style="868" customWidth="1"/>
    <col min="15368" max="15368" width="16.08984375" style="868" customWidth="1"/>
    <col min="15369" max="15369" width="15.08984375" style="868" customWidth="1"/>
    <col min="15370" max="15370" width="20" style="868" customWidth="1"/>
    <col min="15371" max="15371" width="16.6328125" style="868" customWidth="1"/>
    <col min="15372" max="15372" width="12.08984375" style="868" customWidth="1"/>
    <col min="15373" max="15619" width="9.08984375" style="868"/>
    <col min="15620" max="15620" width="4.6328125" style="868" customWidth="1"/>
    <col min="15621" max="15621" width="11.08984375" style="868" customWidth="1"/>
    <col min="15622" max="15622" width="23.453125" style="868" customWidth="1"/>
    <col min="15623" max="15623" width="16.6328125" style="868" customWidth="1"/>
    <col min="15624" max="15624" width="16.08984375" style="868" customWidth="1"/>
    <col min="15625" max="15625" width="15.08984375" style="868" customWidth="1"/>
    <col min="15626" max="15626" width="20" style="868" customWidth="1"/>
    <col min="15627" max="15627" width="16.6328125" style="868" customWidth="1"/>
    <col min="15628" max="15628" width="12.08984375" style="868" customWidth="1"/>
    <col min="15629" max="15875" width="9.08984375" style="868"/>
    <col min="15876" max="15876" width="4.6328125" style="868" customWidth="1"/>
    <col min="15877" max="15877" width="11.08984375" style="868" customWidth="1"/>
    <col min="15878" max="15878" width="23.453125" style="868" customWidth="1"/>
    <col min="15879" max="15879" width="16.6328125" style="868" customWidth="1"/>
    <col min="15880" max="15880" width="16.08984375" style="868" customWidth="1"/>
    <col min="15881" max="15881" width="15.08984375" style="868" customWidth="1"/>
    <col min="15882" max="15882" width="20" style="868" customWidth="1"/>
    <col min="15883" max="15883" width="16.6328125" style="868" customWidth="1"/>
    <col min="15884" max="15884" width="12.08984375" style="868" customWidth="1"/>
    <col min="15885" max="16131" width="9.08984375" style="868"/>
    <col min="16132" max="16132" width="4.6328125" style="868" customWidth="1"/>
    <col min="16133" max="16133" width="11.08984375" style="868" customWidth="1"/>
    <col min="16134" max="16134" width="23.453125" style="868" customWidth="1"/>
    <col min="16135" max="16135" width="16.6328125" style="868" customWidth="1"/>
    <col min="16136" max="16136" width="16.08984375" style="868" customWidth="1"/>
    <col min="16137" max="16137" width="15.08984375" style="868" customWidth="1"/>
    <col min="16138" max="16138" width="20" style="868" customWidth="1"/>
    <col min="16139" max="16139" width="16.6328125" style="868" customWidth="1"/>
    <col min="16140" max="16140" width="12.08984375" style="868" customWidth="1"/>
    <col min="16141" max="16384" width="9.08984375" style="868"/>
  </cols>
  <sheetData>
    <row r="1" spans="2:14" x14ac:dyDescent="0.3">
      <c r="B1" s="867"/>
      <c r="C1" s="867"/>
      <c r="E1" s="868"/>
      <c r="F1" s="868"/>
      <c r="G1" s="868"/>
      <c r="H1" s="868"/>
      <c r="I1" s="868"/>
      <c r="J1" s="868"/>
      <c r="K1" s="868"/>
      <c r="L1" s="868"/>
    </row>
    <row r="2" spans="2:14" x14ac:dyDescent="0.3">
      <c r="B2" s="22"/>
      <c r="C2" s="22"/>
      <c r="D2" s="22"/>
      <c r="E2" s="22"/>
      <c r="F2" s="798" t="str">
        <f>Index!$B$2</f>
        <v xml:space="preserve">      Maharashtra State Power Generation Company Ltd.</v>
      </c>
      <c r="G2" s="22"/>
      <c r="H2" s="22"/>
      <c r="I2" s="22"/>
      <c r="J2" s="22"/>
      <c r="K2" s="22"/>
      <c r="L2" s="22"/>
    </row>
    <row r="3" spans="2:14" x14ac:dyDescent="0.3">
      <c r="C3" s="941"/>
      <c r="D3" s="941"/>
      <c r="E3" s="941"/>
      <c r="F3" s="809" t="s">
        <v>1192</v>
      </c>
      <c r="G3" s="941"/>
      <c r="H3" s="941"/>
      <c r="I3" s="941"/>
      <c r="J3" s="941"/>
      <c r="K3" s="941"/>
      <c r="L3" s="941"/>
    </row>
    <row r="4" spans="2:14" x14ac:dyDescent="0.3">
      <c r="B4" s="22"/>
      <c r="C4" s="22"/>
      <c r="D4" s="22"/>
      <c r="E4" s="22"/>
      <c r="F4" s="942" t="s">
        <v>1493</v>
      </c>
      <c r="G4" s="22"/>
      <c r="H4" s="22"/>
      <c r="I4" s="22"/>
      <c r="J4" s="22"/>
      <c r="K4" s="22"/>
      <c r="L4" s="22"/>
    </row>
    <row r="5" spans="2:14" x14ac:dyDescent="0.3">
      <c r="E5" s="868"/>
      <c r="F5" s="868"/>
      <c r="G5" s="868"/>
      <c r="H5" s="868"/>
      <c r="I5" s="868"/>
      <c r="J5" s="868"/>
      <c r="K5" s="868"/>
      <c r="L5" s="868"/>
    </row>
    <row r="6" spans="2:14" x14ac:dyDescent="0.3">
      <c r="E6" s="868"/>
      <c r="F6" s="868"/>
      <c r="G6" s="868"/>
      <c r="H6" s="868"/>
      <c r="I6" s="868"/>
      <c r="J6" s="868"/>
      <c r="K6" s="868"/>
      <c r="L6" s="868"/>
    </row>
    <row r="7" spans="2:14" s="875" customFormat="1" x14ac:dyDescent="0.3">
      <c r="B7" s="1840" t="s">
        <v>340</v>
      </c>
      <c r="C7" s="1840" t="s">
        <v>413</v>
      </c>
      <c r="D7" s="1840" t="s">
        <v>1494</v>
      </c>
      <c r="E7" s="1870" t="s">
        <v>1067</v>
      </c>
      <c r="F7" s="1871"/>
      <c r="G7" s="1870" t="s">
        <v>1068</v>
      </c>
      <c r="H7" s="1871"/>
      <c r="I7" s="1870" t="s">
        <v>1069</v>
      </c>
      <c r="J7" s="1871"/>
      <c r="K7" s="1870" t="s">
        <v>1070</v>
      </c>
      <c r="L7" s="1871"/>
      <c r="M7" s="1870" t="s">
        <v>1071</v>
      </c>
      <c r="N7" s="1871"/>
    </row>
    <row r="8" spans="2:14" ht="42" x14ac:dyDescent="0.3">
      <c r="B8" s="1842"/>
      <c r="C8" s="1842"/>
      <c r="D8" s="1842"/>
      <c r="E8" s="943" t="s">
        <v>1495</v>
      </c>
      <c r="F8" s="943" t="s">
        <v>1496</v>
      </c>
      <c r="G8" s="943" t="s">
        <v>1495</v>
      </c>
      <c r="H8" s="943" t="s">
        <v>1496</v>
      </c>
      <c r="I8" s="943" t="s">
        <v>1495</v>
      </c>
      <c r="J8" s="943" t="s">
        <v>1496</v>
      </c>
      <c r="K8" s="943" t="s">
        <v>1495</v>
      </c>
      <c r="L8" s="943" t="s">
        <v>1496</v>
      </c>
      <c r="M8" s="943" t="s">
        <v>1495</v>
      </c>
      <c r="N8" s="943" t="s">
        <v>1496</v>
      </c>
    </row>
    <row r="9" spans="2:14" x14ac:dyDescent="0.3">
      <c r="B9" s="895"/>
      <c r="C9" s="895"/>
      <c r="D9" s="1872" t="s">
        <v>1199</v>
      </c>
      <c r="E9" s="1873"/>
      <c r="F9" s="1873"/>
      <c r="G9" s="1873"/>
      <c r="H9" s="1873"/>
      <c r="I9" s="1873"/>
      <c r="J9" s="1873"/>
      <c r="K9" s="1873"/>
      <c r="L9" s="1873"/>
      <c r="M9" s="1873"/>
      <c r="N9" s="1874"/>
    </row>
    <row r="10" spans="2:14" x14ac:dyDescent="0.3">
      <c r="B10" s="944" t="s">
        <v>1497</v>
      </c>
      <c r="C10" s="945" t="s">
        <v>1498</v>
      </c>
      <c r="D10" s="1875"/>
      <c r="E10" s="1876"/>
      <c r="F10" s="1876"/>
      <c r="G10" s="1876"/>
      <c r="H10" s="1876"/>
      <c r="I10" s="1876"/>
      <c r="J10" s="1876"/>
      <c r="K10" s="1876"/>
      <c r="L10" s="1876"/>
      <c r="M10" s="1876"/>
      <c r="N10" s="1877"/>
    </row>
    <row r="11" spans="2:14" x14ac:dyDescent="0.3">
      <c r="B11" s="946"/>
      <c r="C11" s="947"/>
      <c r="D11" s="1875"/>
      <c r="E11" s="1876"/>
      <c r="F11" s="1876"/>
      <c r="G11" s="1876"/>
      <c r="H11" s="1876"/>
      <c r="I11" s="1876"/>
      <c r="J11" s="1876"/>
      <c r="K11" s="1876"/>
      <c r="L11" s="1876"/>
      <c r="M11" s="1876"/>
      <c r="N11" s="1877"/>
    </row>
    <row r="12" spans="2:14" x14ac:dyDescent="0.3">
      <c r="B12" s="946"/>
      <c r="C12" s="947"/>
      <c r="D12" s="1875"/>
      <c r="E12" s="1876"/>
      <c r="F12" s="1876"/>
      <c r="G12" s="1876"/>
      <c r="H12" s="1876"/>
      <c r="I12" s="1876"/>
      <c r="J12" s="1876"/>
      <c r="K12" s="1876"/>
      <c r="L12" s="1876"/>
      <c r="M12" s="1876"/>
      <c r="N12" s="1877"/>
    </row>
    <row r="13" spans="2:14" x14ac:dyDescent="0.3">
      <c r="B13" s="946"/>
      <c r="C13" s="947"/>
      <c r="D13" s="1875"/>
      <c r="E13" s="1876"/>
      <c r="F13" s="1876"/>
      <c r="G13" s="1876"/>
      <c r="H13" s="1876"/>
      <c r="I13" s="1876"/>
      <c r="J13" s="1876"/>
      <c r="K13" s="1876"/>
      <c r="L13" s="1876"/>
      <c r="M13" s="1876"/>
      <c r="N13" s="1877"/>
    </row>
    <row r="14" spans="2:14" x14ac:dyDescent="0.3">
      <c r="B14" s="946" t="s">
        <v>185</v>
      </c>
      <c r="C14" s="947" t="s">
        <v>1499</v>
      </c>
      <c r="D14" s="1875"/>
      <c r="E14" s="1876"/>
      <c r="F14" s="1876"/>
      <c r="G14" s="1876"/>
      <c r="H14" s="1876"/>
      <c r="I14" s="1876"/>
      <c r="J14" s="1876"/>
      <c r="K14" s="1876"/>
      <c r="L14" s="1876"/>
      <c r="M14" s="1876"/>
      <c r="N14" s="1877"/>
    </row>
    <row r="15" spans="2:14" x14ac:dyDescent="0.3">
      <c r="B15" s="946"/>
      <c r="C15" s="947"/>
      <c r="D15" s="1875"/>
      <c r="E15" s="1876"/>
      <c r="F15" s="1876"/>
      <c r="G15" s="1876"/>
      <c r="H15" s="1876"/>
      <c r="I15" s="1876"/>
      <c r="J15" s="1876"/>
      <c r="K15" s="1876"/>
      <c r="L15" s="1876"/>
      <c r="M15" s="1876"/>
      <c r="N15" s="1877"/>
    </row>
    <row r="16" spans="2:14" x14ac:dyDescent="0.3">
      <c r="B16" s="946"/>
      <c r="C16" s="947"/>
      <c r="D16" s="1875"/>
      <c r="E16" s="1876"/>
      <c r="F16" s="1876"/>
      <c r="G16" s="1876"/>
      <c r="H16" s="1876"/>
      <c r="I16" s="1876"/>
      <c r="J16" s="1876"/>
      <c r="K16" s="1876"/>
      <c r="L16" s="1876"/>
      <c r="M16" s="1876"/>
      <c r="N16" s="1877"/>
    </row>
    <row r="17" spans="2:14" s="883" customFormat="1" ht="14.5" thickBot="1" x14ac:dyDescent="0.35">
      <c r="B17" s="948"/>
      <c r="C17" s="949" t="s">
        <v>271</v>
      </c>
      <c r="D17" s="1878"/>
      <c r="E17" s="1879"/>
      <c r="F17" s="1879"/>
      <c r="G17" s="1879"/>
      <c r="H17" s="1879"/>
      <c r="I17" s="1879"/>
      <c r="J17" s="1879"/>
      <c r="K17" s="1879"/>
      <c r="L17" s="1879"/>
      <c r="M17" s="1879"/>
      <c r="N17" s="1880"/>
    </row>
    <row r="19" spans="2:14" x14ac:dyDescent="0.3">
      <c r="C19" s="868" t="s">
        <v>1500</v>
      </c>
    </row>
    <row r="20" spans="2:14" x14ac:dyDescent="0.3">
      <c r="C20" s="868" t="s">
        <v>1501</v>
      </c>
    </row>
    <row r="21" spans="2:14" x14ac:dyDescent="0.3">
      <c r="C21" s="868" t="s">
        <v>1502</v>
      </c>
    </row>
    <row r="29" spans="2:14" ht="29.4" customHeight="1" x14ac:dyDescent="0.3">
      <c r="C29" s="873"/>
    </row>
  </sheetData>
  <mergeCells count="9">
    <mergeCell ref="K7:L7"/>
    <mergeCell ref="M7:N7"/>
    <mergeCell ref="D9:N17"/>
    <mergeCell ref="B7:B8"/>
    <mergeCell ref="C7:C8"/>
    <mergeCell ref="D7:D8"/>
    <mergeCell ref="E7:F7"/>
    <mergeCell ref="G7:H7"/>
    <mergeCell ref="I7:J7"/>
  </mergeCells>
  <pageMargins left="0.74803149606299213" right="0.74803149606299213" top="0.69" bottom="0.48" header="0.51181102362204722" footer="0.37"/>
  <pageSetup paperSize="9" scale="53"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J29"/>
  <sheetViews>
    <sheetView showGridLines="0" view="pageBreakPreview" zoomScale="90" zoomScaleNormal="75" zoomScaleSheetLayoutView="90" workbookViewId="0">
      <selection activeCell="A2" sqref="A2:T2"/>
    </sheetView>
  </sheetViews>
  <sheetFormatPr defaultColWidth="9.08984375" defaultRowHeight="14" x14ac:dyDescent="0.3"/>
  <cols>
    <col min="1" max="1" width="9.08984375" style="811"/>
    <col min="2" max="2" width="39" style="811" customWidth="1"/>
    <col min="3" max="3" width="19.08984375" style="811" customWidth="1"/>
    <col min="4" max="7" width="15.6328125" style="811" customWidth="1"/>
    <col min="8" max="259" width="9.08984375" style="811"/>
    <col min="260" max="260" width="82.6328125" style="811" bestFit="1" customWidth="1"/>
    <col min="261" max="263" width="28.6328125" style="811" customWidth="1"/>
    <col min="264" max="515" width="9.08984375" style="811"/>
    <col min="516" max="516" width="82.6328125" style="811" bestFit="1" customWidth="1"/>
    <col min="517" max="519" width="28.6328125" style="811" customWidth="1"/>
    <col min="520" max="771" width="9.08984375" style="811"/>
    <col min="772" max="772" width="82.6328125" style="811" bestFit="1" customWidth="1"/>
    <col min="773" max="775" width="28.6328125" style="811" customWidth="1"/>
    <col min="776" max="1027" width="9.08984375" style="811"/>
    <col min="1028" max="1028" width="82.6328125" style="811" bestFit="1" customWidth="1"/>
    <col min="1029" max="1031" width="28.6328125" style="811" customWidth="1"/>
    <col min="1032" max="1283" width="9.08984375" style="811"/>
    <col min="1284" max="1284" width="82.6328125" style="811" bestFit="1" customWidth="1"/>
    <col min="1285" max="1287" width="28.6328125" style="811" customWidth="1"/>
    <col min="1288" max="1539" width="9.08984375" style="811"/>
    <col min="1540" max="1540" width="82.6328125" style="811" bestFit="1" customWidth="1"/>
    <col min="1541" max="1543" width="28.6328125" style="811" customWidth="1"/>
    <col min="1544" max="1795" width="9.08984375" style="811"/>
    <col min="1796" max="1796" width="82.6328125" style="811" bestFit="1" customWidth="1"/>
    <col min="1797" max="1799" width="28.6328125" style="811" customWidth="1"/>
    <col min="1800" max="2051" width="9.08984375" style="811"/>
    <col min="2052" max="2052" width="82.6328125" style="811" bestFit="1" customWidth="1"/>
    <col min="2053" max="2055" width="28.6328125" style="811" customWidth="1"/>
    <col min="2056" max="2307" width="9.08984375" style="811"/>
    <col min="2308" max="2308" width="82.6328125" style="811" bestFit="1" customWidth="1"/>
    <col min="2309" max="2311" width="28.6328125" style="811" customWidth="1"/>
    <col min="2312" max="2563" width="9.08984375" style="811"/>
    <col min="2564" max="2564" width="82.6328125" style="811" bestFit="1" customWidth="1"/>
    <col min="2565" max="2567" width="28.6328125" style="811" customWidth="1"/>
    <col min="2568" max="2819" width="9.08984375" style="811"/>
    <col min="2820" max="2820" width="82.6328125" style="811" bestFit="1" customWidth="1"/>
    <col min="2821" max="2823" width="28.6328125" style="811" customWidth="1"/>
    <col min="2824" max="3075" width="9.08984375" style="811"/>
    <col min="3076" max="3076" width="82.6328125" style="811" bestFit="1" customWidth="1"/>
    <col min="3077" max="3079" width="28.6328125" style="811" customWidth="1"/>
    <col min="3080" max="3331" width="9.08984375" style="811"/>
    <col min="3332" max="3332" width="82.6328125" style="811" bestFit="1" customWidth="1"/>
    <col min="3333" max="3335" width="28.6328125" style="811" customWidth="1"/>
    <col min="3336" max="3587" width="9.08984375" style="811"/>
    <col min="3588" max="3588" width="82.6328125" style="811" bestFit="1" customWidth="1"/>
    <col min="3589" max="3591" width="28.6328125" style="811" customWidth="1"/>
    <col min="3592" max="3843" width="9.08984375" style="811"/>
    <col min="3844" max="3844" width="82.6328125" style="811" bestFit="1" customWidth="1"/>
    <col min="3845" max="3847" width="28.6328125" style="811" customWidth="1"/>
    <col min="3848" max="4099" width="9.08984375" style="811"/>
    <col min="4100" max="4100" width="82.6328125" style="811" bestFit="1" customWidth="1"/>
    <col min="4101" max="4103" width="28.6328125" style="811" customWidth="1"/>
    <col min="4104" max="4355" width="9.08984375" style="811"/>
    <col min="4356" max="4356" width="82.6328125" style="811" bestFit="1" customWidth="1"/>
    <col min="4357" max="4359" width="28.6328125" style="811" customWidth="1"/>
    <col min="4360" max="4611" width="9.08984375" style="811"/>
    <col min="4612" max="4612" width="82.6328125" style="811" bestFit="1" customWidth="1"/>
    <col min="4613" max="4615" width="28.6328125" style="811" customWidth="1"/>
    <col min="4616" max="4867" width="9.08984375" style="811"/>
    <col min="4868" max="4868" width="82.6328125" style="811" bestFit="1" customWidth="1"/>
    <col min="4869" max="4871" width="28.6328125" style="811" customWidth="1"/>
    <col min="4872" max="5123" width="9.08984375" style="811"/>
    <col min="5124" max="5124" width="82.6328125" style="811" bestFit="1" customWidth="1"/>
    <col min="5125" max="5127" width="28.6328125" style="811" customWidth="1"/>
    <col min="5128" max="5379" width="9.08984375" style="811"/>
    <col min="5380" max="5380" width="82.6328125" style="811" bestFit="1" customWidth="1"/>
    <col min="5381" max="5383" width="28.6328125" style="811" customWidth="1"/>
    <col min="5384" max="5635" width="9.08984375" style="811"/>
    <col min="5636" max="5636" width="82.6328125" style="811" bestFit="1" customWidth="1"/>
    <col min="5637" max="5639" width="28.6328125" style="811" customWidth="1"/>
    <col min="5640" max="5891" width="9.08984375" style="811"/>
    <col min="5892" max="5892" width="82.6328125" style="811" bestFit="1" customWidth="1"/>
    <col min="5893" max="5895" width="28.6328125" style="811" customWidth="1"/>
    <col min="5896" max="6147" width="9.08984375" style="811"/>
    <col min="6148" max="6148" width="82.6328125" style="811" bestFit="1" customWidth="1"/>
    <col min="6149" max="6151" width="28.6328125" style="811" customWidth="1"/>
    <col min="6152" max="6403" width="9.08984375" style="811"/>
    <col min="6404" max="6404" width="82.6328125" style="811" bestFit="1" customWidth="1"/>
    <col min="6405" max="6407" width="28.6328125" style="811" customWidth="1"/>
    <col min="6408" max="6659" width="9.08984375" style="811"/>
    <col min="6660" max="6660" width="82.6328125" style="811" bestFit="1" customWidth="1"/>
    <col min="6661" max="6663" width="28.6328125" style="811" customWidth="1"/>
    <col min="6664" max="6915" width="9.08984375" style="811"/>
    <col min="6916" max="6916" width="82.6328125" style="811" bestFit="1" customWidth="1"/>
    <col min="6917" max="6919" width="28.6328125" style="811" customWidth="1"/>
    <col min="6920" max="7171" width="9.08984375" style="811"/>
    <col min="7172" max="7172" width="82.6328125" style="811" bestFit="1" customWidth="1"/>
    <col min="7173" max="7175" width="28.6328125" style="811" customWidth="1"/>
    <col min="7176" max="7427" width="9.08984375" style="811"/>
    <col min="7428" max="7428" width="82.6328125" style="811" bestFit="1" customWidth="1"/>
    <col min="7429" max="7431" width="28.6328125" style="811" customWidth="1"/>
    <col min="7432" max="7683" width="9.08984375" style="811"/>
    <col min="7684" max="7684" width="82.6328125" style="811" bestFit="1" customWidth="1"/>
    <col min="7685" max="7687" width="28.6328125" style="811" customWidth="1"/>
    <col min="7688" max="7939" width="9.08984375" style="811"/>
    <col min="7940" max="7940" width="82.6328125" style="811" bestFit="1" customWidth="1"/>
    <col min="7941" max="7943" width="28.6328125" style="811" customWidth="1"/>
    <col min="7944" max="8195" width="9.08984375" style="811"/>
    <col min="8196" max="8196" width="82.6328125" style="811" bestFit="1" customWidth="1"/>
    <col min="8197" max="8199" width="28.6328125" style="811" customWidth="1"/>
    <col min="8200" max="8451" width="9.08984375" style="811"/>
    <col min="8452" max="8452" width="82.6328125" style="811" bestFit="1" customWidth="1"/>
    <col min="8453" max="8455" width="28.6328125" style="811" customWidth="1"/>
    <col min="8456" max="8707" width="9.08984375" style="811"/>
    <col min="8708" max="8708" width="82.6328125" style="811" bestFit="1" customWidth="1"/>
    <col min="8709" max="8711" width="28.6328125" style="811" customWidth="1"/>
    <col min="8712" max="8963" width="9.08984375" style="811"/>
    <col min="8964" max="8964" width="82.6328125" style="811" bestFit="1" customWidth="1"/>
    <col min="8965" max="8967" width="28.6328125" style="811" customWidth="1"/>
    <col min="8968" max="9219" width="9.08984375" style="811"/>
    <col min="9220" max="9220" width="82.6328125" style="811" bestFit="1" customWidth="1"/>
    <col min="9221" max="9223" width="28.6328125" style="811" customWidth="1"/>
    <col min="9224" max="9475" width="9.08984375" style="811"/>
    <col min="9476" max="9476" width="82.6328125" style="811" bestFit="1" customWidth="1"/>
    <col min="9477" max="9479" width="28.6328125" style="811" customWidth="1"/>
    <col min="9480" max="9731" width="9.08984375" style="811"/>
    <col min="9732" max="9732" width="82.6328125" style="811" bestFit="1" customWidth="1"/>
    <col min="9733" max="9735" width="28.6328125" style="811" customWidth="1"/>
    <col min="9736" max="9987" width="9.08984375" style="811"/>
    <col min="9988" max="9988" width="82.6328125" style="811" bestFit="1" customWidth="1"/>
    <col min="9989" max="9991" width="28.6328125" style="811" customWidth="1"/>
    <col min="9992" max="10243" width="9.08984375" style="811"/>
    <col min="10244" max="10244" width="82.6328125" style="811" bestFit="1" customWidth="1"/>
    <col min="10245" max="10247" width="28.6328125" style="811" customWidth="1"/>
    <col min="10248" max="10499" width="9.08984375" style="811"/>
    <col min="10500" max="10500" width="82.6328125" style="811" bestFit="1" customWidth="1"/>
    <col min="10501" max="10503" width="28.6328125" style="811" customWidth="1"/>
    <col min="10504" max="10755" width="9.08984375" style="811"/>
    <col min="10756" max="10756" width="82.6328125" style="811" bestFit="1" customWidth="1"/>
    <col min="10757" max="10759" width="28.6328125" style="811" customWidth="1"/>
    <col min="10760" max="11011" width="9.08984375" style="811"/>
    <col min="11012" max="11012" width="82.6328125" style="811" bestFit="1" customWidth="1"/>
    <col min="11013" max="11015" width="28.6328125" style="811" customWidth="1"/>
    <col min="11016" max="11267" width="9.08984375" style="811"/>
    <col min="11268" max="11268" width="82.6328125" style="811" bestFit="1" customWidth="1"/>
    <col min="11269" max="11271" width="28.6328125" style="811" customWidth="1"/>
    <col min="11272" max="11523" width="9.08984375" style="811"/>
    <col min="11524" max="11524" width="82.6328125" style="811" bestFit="1" customWidth="1"/>
    <col min="11525" max="11527" width="28.6328125" style="811" customWidth="1"/>
    <col min="11528" max="11779" width="9.08984375" style="811"/>
    <col min="11780" max="11780" width="82.6328125" style="811" bestFit="1" customWidth="1"/>
    <col min="11781" max="11783" width="28.6328125" style="811" customWidth="1"/>
    <col min="11784" max="12035" width="9.08984375" style="811"/>
    <col min="12036" max="12036" width="82.6328125" style="811" bestFit="1" customWidth="1"/>
    <col min="12037" max="12039" width="28.6328125" style="811" customWidth="1"/>
    <col min="12040" max="12291" width="9.08984375" style="811"/>
    <col min="12292" max="12292" width="82.6328125" style="811" bestFit="1" customWidth="1"/>
    <col min="12293" max="12295" width="28.6328125" style="811" customWidth="1"/>
    <col min="12296" max="12547" width="9.08984375" style="811"/>
    <col min="12548" max="12548" width="82.6328125" style="811" bestFit="1" customWidth="1"/>
    <col min="12549" max="12551" width="28.6328125" style="811" customWidth="1"/>
    <col min="12552" max="12803" width="9.08984375" style="811"/>
    <col min="12804" max="12804" width="82.6328125" style="811" bestFit="1" customWidth="1"/>
    <col min="12805" max="12807" width="28.6328125" style="811" customWidth="1"/>
    <col min="12808" max="13059" width="9.08984375" style="811"/>
    <col min="13060" max="13060" width="82.6328125" style="811" bestFit="1" customWidth="1"/>
    <col min="13061" max="13063" width="28.6328125" style="811" customWidth="1"/>
    <col min="13064" max="13315" width="9.08984375" style="811"/>
    <col min="13316" max="13316" width="82.6328125" style="811" bestFit="1" customWidth="1"/>
    <col min="13317" max="13319" width="28.6328125" style="811" customWidth="1"/>
    <col min="13320" max="13571" width="9.08984375" style="811"/>
    <col min="13572" max="13572" width="82.6328125" style="811" bestFit="1" customWidth="1"/>
    <col min="13573" max="13575" width="28.6328125" style="811" customWidth="1"/>
    <col min="13576" max="13827" width="9.08984375" style="811"/>
    <col min="13828" max="13828" width="82.6328125" style="811" bestFit="1" customWidth="1"/>
    <col min="13829" max="13831" width="28.6328125" style="811" customWidth="1"/>
    <col min="13832" max="14083" width="9.08984375" style="811"/>
    <col min="14084" max="14084" width="82.6328125" style="811" bestFit="1" customWidth="1"/>
    <col min="14085" max="14087" width="28.6328125" style="811" customWidth="1"/>
    <col min="14088" max="14339" width="9.08984375" style="811"/>
    <col min="14340" max="14340" width="82.6328125" style="811" bestFit="1" customWidth="1"/>
    <col min="14341" max="14343" width="28.6328125" style="811" customWidth="1"/>
    <col min="14344" max="14595" width="9.08984375" style="811"/>
    <col min="14596" max="14596" width="82.6328125" style="811" bestFit="1" customWidth="1"/>
    <col min="14597" max="14599" width="28.6328125" style="811" customWidth="1"/>
    <col min="14600" max="14851" width="9.08984375" style="811"/>
    <col min="14852" max="14852" width="82.6328125" style="811" bestFit="1" customWidth="1"/>
    <col min="14853" max="14855" width="28.6328125" style="811" customWidth="1"/>
    <col min="14856" max="15107" width="9.08984375" style="811"/>
    <col min="15108" max="15108" width="82.6328125" style="811" bestFit="1" customWidth="1"/>
    <col min="15109" max="15111" width="28.6328125" style="811" customWidth="1"/>
    <col min="15112" max="15363" width="9.08984375" style="811"/>
    <col min="15364" max="15364" width="82.6328125" style="811" bestFit="1" customWidth="1"/>
    <col min="15365" max="15367" width="28.6328125" style="811" customWidth="1"/>
    <col min="15368" max="15619" width="9.08984375" style="811"/>
    <col min="15620" max="15620" width="82.6328125" style="811" bestFit="1" customWidth="1"/>
    <col min="15621" max="15623" width="28.6328125" style="811" customWidth="1"/>
    <col min="15624" max="15875" width="9.08984375" style="811"/>
    <col min="15876" max="15876" width="82.6328125" style="811" bestFit="1" customWidth="1"/>
    <col min="15877" max="15879" width="28.6328125" style="811" customWidth="1"/>
    <col min="15880" max="16131" width="9.08984375" style="811"/>
    <col min="16132" max="16132" width="82.6328125" style="811" bestFit="1" customWidth="1"/>
    <col min="16133" max="16135" width="28.6328125" style="811" customWidth="1"/>
    <col min="16136" max="16384" width="9.08984375" style="811"/>
  </cols>
  <sheetData>
    <row r="1" spans="2:10" x14ac:dyDescent="0.3">
      <c r="B1" s="848"/>
    </row>
    <row r="2" spans="2:10" x14ac:dyDescent="0.3">
      <c r="B2" s="22"/>
      <c r="C2" s="798" t="str">
        <f>Index!$B$2</f>
        <v xml:space="preserve">      Maharashtra State Power Generation Company Ltd.</v>
      </c>
      <c r="D2" s="798"/>
      <c r="E2" s="798"/>
      <c r="F2" s="22"/>
      <c r="G2" s="22"/>
    </row>
    <row r="3" spans="2:10" x14ac:dyDescent="0.3">
      <c r="B3" s="858"/>
      <c r="C3" s="809" t="s">
        <v>1192</v>
      </c>
      <c r="D3" s="809"/>
      <c r="E3" s="809"/>
      <c r="F3" s="858"/>
      <c r="G3" s="858"/>
    </row>
    <row r="4" spans="2:10" x14ac:dyDescent="0.3">
      <c r="B4" s="22"/>
      <c r="C4" s="942" t="s">
        <v>1503</v>
      </c>
      <c r="D4" s="942"/>
      <c r="E4" s="942"/>
      <c r="F4" s="22"/>
      <c r="G4" s="22"/>
      <c r="J4" s="798"/>
    </row>
    <row r="5" spans="2:10" x14ac:dyDescent="0.3">
      <c r="G5" s="951" t="s">
        <v>10</v>
      </c>
      <c r="J5" s="809"/>
    </row>
    <row r="6" spans="2:10" s="952" customFormat="1" x14ac:dyDescent="0.3">
      <c r="B6" s="850" t="s">
        <v>1504</v>
      </c>
      <c r="C6" s="850" t="s">
        <v>1067</v>
      </c>
      <c r="D6" s="850" t="s">
        <v>1068</v>
      </c>
      <c r="E6" s="850" t="s">
        <v>1069</v>
      </c>
      <c r="F6" s="850" t="s">
        <v>1070</v>
      </c>
      <c r="G6" s="850" t="s">
        <v>1071</v>
      </c>
      <c r="J6" s="942"/>
    </row>
    <row r="7" spans="2:10" x14ac:dyDescent="0.3">
      <c r="B7" s="823"/>
      <c r="C7" s="1811" t="s">
        <v>1199</v>
      </c>
      <c r="D7" s="1812"/>
      <c r="E7" s="1812"/>
      <c r="F7" s="1812"/>
      <c r="G7" s="1813"/>
    </row>
    <row r="8" spans="2:10" x14ac:dyDescent="0.3">
      <c r="B8" s="953" t="s">
        <v>1505</v>
      </c>
      <c r="C8" s="1814"/>
      <c r="D8" s="1815"/>
      <c r="E8" s="1815"/>
      <c r="F8" s="1815"/>
      <c r="G8" s="1816"/>
    </row>
    <row r="9" spans="2:10" x14ac:dyDescent="0.3">
      <c r="B9" s="955"/>
      <c r="C9" s="1814"/>
      <c r="D9" s="1815"/>
      <c r="E9" s="1815"/>
      <c r="F9" s="1815"/>
      <c r="G9" s="1816"/>
    </row>
    <row r="10" spans="2:10" x14ac:dyDescent="0.3">
      <c r="B10" s="955" t="s">
        <v>1506</v>
      </c>
      <c r="C10" s="1814"/>
      <c r="D10" s="1815"/>
      <c r="E10" s="1815"/>
      <c r="F10" s="1815"/>
      <c r="G10" s="1816"/>
    </row>
    <row r="11" spans="2:10" x14ac:dyDescent="0.3">
      <c r="B11" s="953" t="s">
        <v>1207</v>
      </c>
      <c r="C11" s="1814"/>
      <c r="D11" s="1815"/>
      <c r="E11" s="1815"/>
      <c r="F11" s="1815"/>
      <c r="G11" s="1816"/>
    </row>
    <row r="12" spans="2:10" x14ac:dyDescent="0.3">
      <c r="B12" s="953" t="s">
        <v>1208</v>
      </c>
      <c r="C12" s="1814"/>
      <c r="D12" s="1815"/>
      <c r="E12" s="1815"/>
      <c r="F12" s="1815"/>
      <c r="G12" s="1816"/>
    </row>
    <row r="13" spans="2:10" x14ac:dyDescent="0.3">
      <c r="B13" s="953" t="s">
        <v>1204</v>
      </c>
      <c r="C13" s="1814"/>
      <c r="D13" s="1815"/>
      <c r="E13" s="1815"/>
      <c r="F13" s="1815"/>
      <c r="G13" s="1816"/>
    </row>
    <row r="14" spans="2:10" x14ac:dyDescent="0.3">
      <c r="B14" s="827" t="s">
        <v>1455</v>
      </c>
      <c r="C14" s="1814"/>
      <c r="D14" s="1815"/>
      <c r="E14" s="1815"/>
      <c r="F14" s="1815"/>
      <c r="G14" s="1816"/>
    </row>
    <row r="15" spans="2:10" x14ac:dyDescent="0.3">
      <c r="B15" s="823"/>
      <c r="C15" s="1814"/>
      <c r="D15" s="1815"/>
      <c r="E15" s="1815"/>
      <c r="F15" s="1815"/>
      <c r="G15" s="1816"/>
    </row>
    <row r="16" spans="2:10" x14ac:dyDescent="0.3">
      <c r="B16" s="956" t="s">
        <v>1507</v>
      </c>
      <c r="C16" s="1814"/>
      <c r="D16" s="1815"/>
      <c r="E16" s="1815"/>
      <c r="F16" s="1815"/>
      <c r="G16" s="1816"/>
    </row>
    <row r="17" spans="2:7" x14ac:dyDescent="0.3">
      <c r="B17" s="827" t="s">
        <v>1508</v>
      </c>
      <c r="C17" s="1814"/>
      <c r="D17" s="1815"/>
      <c r="E17" s="1815"/>
      <c r="F17" s="1815"/>
      <c r="G17" s="1816"/>
    </row>
    <row r="18" spans="2:7" x14ac:dyDescent="0.3">
      <c r="B18" s="827" t="s">
        <v>1509</v>
      </c>
      <c r="C18" s="1814"/>
      <c r="D18" s="1815"/>
      <c r="E18" s="1815"/>
      <c r="F18" s="1815"/>
      <c r="G18" s="1816"/>
    </row>
    <row r="19" spans="2:7" x14ac:dyDescent="0.3">
      <c r="B19" s="823"/>
      <c r="C19" s="1814"/>
      <c r="D19" s="1815"/>
      <c r="E19" s="1815"/>
      <c r="F19" s="1815"/>
      <c r="G19" s="1816"/>
    </row>
    <row r="20" spans="2:7" x14ac:dyDescent="0.3">
      <c r="B20" s="827" t="s">
        <v>271</v>
      </c>
      <c r="C20" s="1817"/>
      <c r="D20" s="1818"/>
      <c r="E20" s="1818"/>
      <c r="F20" s="1818"/>
      <c r="G20" s="1819"/>
    </row>
    <row r="21" spans="2:7" x14ac:dyDescent="0.3">
      <c r="C21" s="855"/>
      <c r="D21" s="855"/>
      <c r="E21" s="855"/>
      <c r="F21" s="957"/>
      <c r="G21" s="922"/>
    </row>
    <row r="29" spans="2:7" ht="29.4" customHeight="1" x14ac:dyDescent="0.3">
      <c r="C29" s="857"/>
    </row>
  </sheetData>
  <mergeCells count="1">
    <mergeCell ref="C7:G20"/>
  </mergeCells>
  <printOptions horizontalCentered="1" verticalCentered="1"/>
  <pageMargins left="1.1811023622047245" right="0.39370078740157483" top="0.74803149606299213" bottom="1.1811023622047245" header="0.31496062992125984" footer="0.31496062992125984"/>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Z55"/>
  <sheetViews>
    <sheetView view="pageBreakPreview" zoomScale="80" zoomScaleSheetLayoutView="80" workbookViewId="0">
      <pane ySplit="7" topLeftCell="A8" activePane="bottomLeft" state="frozen"/>
      <selection activeCell="A2" sqref="A2:T2"/>
      <selection pane="bottomLeft" activeCell="A2" sqref="A2:T2"/>
    </sheetView>
  </sheetViews>
  <sheetFormatPr defaultColWidth="9.08984375" defaultRowHeight="14" x14ac:dyDescent="0.3"/>
  <cols>
    <col min="1" max="1" width="2.90625" style="959" customWidth="1"/>
    <col min="2" max="2" width="9.6328125" style="959" customWidth="1"/>
    <col min="3" max="3" width="36.36328125" style="959" customWidth="1"/>
    <col min="4" max="20" width="9.08984375" style="959" customWidth="1"/>
    <col min="21" max="23" width="9.08984375" style="959"/>
    <col min="24" max="24" width="11.36328125" style="959" customWidth="1"/>
    <col min="25" max="25" width="10.36328125" style="959" customWidth="1"/>
    <col min="26" max="233" width="9.08984375" style="959"/>
    <col min="234" max="234" width="2.90625" style="959" customWidth="1"/>
    <col min="235" max="235" width="13.08984375" style="959" customWidth="1"/>
    <col min="236" max="236" width="60.36328125" style="959" customWidth="1"/>
    <col min="237" max="241" width="10.90625" style="959" bestFit="1" customWidth="1"/>
    <col min="242" max="242" width="11.90625" style="959" bestFit="1" customWidth="1"/>
    <col min="243" max="243" width="14.36328125" style="959" bestFit="1" customWidth="1"/>
    <col min="244" max="244" width="17.453125" style="959" bestFit="1" customWidth="1"/>
    <col min="245" max="247" width="17.54296875" style="959" bestFit="1" customWidth="1"/>
    <col min="248" max="254" width="21" style="959" bestFit="1" customWidth="1"/>
    <col min="255" max="262" width="21.08984375" style="959" bestFit="1" customWidth="1"/>
    <col min="263" max="263" width="22.6328125" style="959" customWidth="1"/>
    <col min="264" max="264" width="22" style="959" customWidth="1"/>
    <col min="265" max="265" width="22.6328125" style="959" customWidth="1"/>
    <col min="266" max="271" width="21.08984375" style="959" bestFit="1" customWidth="1"/>
    <col min="272" max="272" width="19.54296875" style="959" customWidth="1"/>
    <col min="273" max="273" width="21.08984375" style="959" bestFit="1" customWidth="1"/>
    <col min="274" max="274" width="22.6328125" style="959" customWidth="1"/>
    <col min="275" max="275" width="22" style="959" customWidth="1"/>
    <col min="276" max="276" width="23.453125" style="959" bestFit="1" customWidth="1"/>
    <col min="277" max="279" width="9.08984375" style="959"/>
    <col min="280" max="280" width="11.36328125" style="959" customWidth="1"/>
    <col min="281" max="281" width="10.36328125" style="959" customWidth="1"/>
    <col min="282" max="489" width="9.08984375" style="959"/>
    <col min="490" max="490" width="2.90625" style="959" customWidth="1"/>
    <col min="491" max="491" width="13.08984375" style="959" customWidth="1"/>
    <col min="492" max="492" width="60.36328125" style="959" customWidth="1"/>
    <col min="493" max="497" width="10.90625" style="959" bestFit="1" customWidth="1"/>
    <col min="498" max="498" width="11.90625" style="959" bestFit="1" customWidth="1"/>
    <col min="499" max="499" width="14.36328125" style="959" bestFit="1" customWidth="1"/>
    <col min="500" max="500" width="17.453125" style="959" bestFit="1" customWidth="1"/>
    <col min="501" max="503" width="17.54296875" style="959" bestFit="1" customWidth="1"/>
    <col min="504" max="510" width="21" style="959" bestFit="1" customWidth="1"/>
    <col min="511" max="518" width="21.08984375" style="959" bestFit="1" customWidth="1"/>
    <col min="519" max="519" width="22.6328125" style="959" customWidth="1"/>
    <col min="520" max="520" width="22" style="959" customWidth="1"/>
    <col min="521" max="521" width="22.6328125" style="959" customWidth="1"/>
    <col min="522" max="527" width="21.08984375" style="959" bestFit="1" customWidth="1"/>
    <col min="528" max="528" width="19.54296875" style="959" customWidth="1"/>
    <col min="529" max="529" width="21.08984375" style="959" bestFit="1" customWidth="1"/>
    <col min="530" max="530" width="22.6328125" style="959" customWidth="1"/>
    <col min="531" max="531" width="22" style="959" customWidth="1"/>
    <col min="532" max="532" width="23.453125" style="959" bestFit="1" customWidth="1"/>
    <col min="533" max="535" width="9.08984375" style="959"/>
    <col min="536" max="536" width="11.36328125" style="959" customWidth="1"/>
    <col min="537" max="537" width="10.36328125" style="959" customWidth="1"/>
    <col min="538" max="745" width="9.08984375" style="959"/>
    <col min="746" max="746" width="2.90625" style="959" customWidth="1"/>
    <col min="747" max="747" width="13.08984375" style="959" customWidth="1"/>
    <col min="748" max="748" width="60.36328125" style="959" customWidth="1"/>
    <col min="749" max="753" width="10.90625" style="959" bestFit="1" customWidth="1"/>
    <col min="754" max="754" width="11.90625" style="959" bestFit="1" customWidth="1"/>
    <col min="755" max="755" width="14.36328125" style="959" bestFit="1" customWidth="1"/>
    <col min="756" max="756" width="17.453125" style="959" bestFit="1" customWidth="1"/>
    <col min="757" max="759" width="17.54296875" style="959" bestFit="1" customWidth="1"/>
    <col min="760" max="766" width="21" style="959" bestFit="1" customWidth="1"/>
    <col min="767" max="774" width="21.08984375" style="959" bestFit="1" customWidth="1"/>
    <col min="775" max="775" width="22.6328125" style="959" customWidth="1"/>
    <col min="776" max="776" width="22" style="959" customWidth="1"/>
    <col min="777" max="777" width="22.6328125" style="959" customWidth="1"/>
    <col min="778" max="783" width="21.08984375" style="959" bestFit="1" customWidth="1"/>
    <col min="784" max="784" width="19.54296875" style="959" customWidth="1"/>
    <col min="785" max="785" width="21.08984375" style="959" bestFit="1" customWidth="1"/>
    <col min="786" max="786" width="22.6328125" style="959" customWidth="1"/>
    <col min="787" max="787" width="22" style="959" customWidth="1"/>
    <col min="788" max="788" width="23.453125" style="959" bestFit="1" customWidth="1"/>
    <col min="789" max="791" width="9.08984375" style="959"/>
    <col min="792" max="792" width="11.36328125" style="959" customWidth="1"/>
    <col min="793" max="793" width="10.36328125" style="959" customWidth="1"/>
    <col min="794" max="1001" width="9.08984375" style="959"/>
    <col min="1002" max="1002" width="2.90625" style="959" customWidth="1"/>
    <col min="1003" max="1003" width="13.08984375" style="959" customWidth="1"/>
    <col min="1004" max="1004" width="60.36328125" style="959" customWidth="1"/>
    <col min="1005" max="1009" width="10.90625" style="959" bestFit="1" customWidth="1"/>
    <col min="1010" max="1010" width="11.90625" style="959" bestFit="1" customWidth="1"/>
    <col min="1011" max="1011" width="14.36328125" style="959" bestFit="1" customWidth="1"/>
    <col min="1012" max="1012" width="17.453125" style="959" bestFit="1" customWidth="1"/>
    <col min="1013" max="1015" width="17.54296875" style="959" bestFit="1" customWidth="1"/>
    <col min="1016" max="1022" width="21" style="959" bestFit="1" customWidth="1"/>
    <col min="1023" max="1030" width="21.08984375" style="959" bestFit="1" customWidth="1"/>
    <col min="1031" max="1031" width="22.6328125" style="959" customWidth="1"/>
    <col min="1032" max="1032" width="22" style="959" customWidth="1"/>
    <col min="1033" max="1033" width="22.6328125" style="959" customWidth="1"/>
    <col min="1034" max="1039" width="21.08984375" style="959" bestFit="1" customWidth="1"/>
    <col min="1040" max="1040" width="19.54296875" style="959" customWidth="1"/>
    <col min="1041" max="1041" width="21.08984375" style="959" bestFit="1" customWidth="1"/>
    <col min="1042" max="1042" width="22.6328125" style="959" customWidth="1"/>
    <col min="1043" max="1043" width="22" style="959" customWidth="1"/>
    <col min="1044" max="1044" width="23.453125" style="959" bestFit="1" customWidth="1"/>
    <col min="1045" max="1047" width="9.08984375" style="959"/>
    <col min="1048" max="1048" width="11.36328125" style="959" customWidth="1"/>
    <col min="1049" max="1049" width="10.36328125" style="959" customWidth="1"/>
    <col min="1050" max="1257" width="9.08984375" style="959"/>
    <col min="1258" max="1258" width="2.90625" style="959" customWidth="1"/>
    <col min="1259" max="1259" width="13.08984375" style="959" customWidth="1"/>
    <col min="1260" max="1260" width="60.36328125" style="959" customWidth="1"/>
    <col min="1261" max="1265" width="10.90625" style="959" bestFit="1" customWidth="1"/>
    <col min="1266" max="1266" width="11.90625" style="959" bestFit="1" customWidth="1"/>
    <col min="1267" max="1267" width="14.36328125" style="959" bestFit="1" customWidth="1"/>
    <col min="1268" max="1268" width="17.453125" style="959" bestFit="1" customWidth="1"/>
    <col min="1269" max="1271" width="17.54296875" style="959" bestFit="1" customWidth="1"/>
    <col min="1272" max="1278" width="21" style="959" bestFit="1" customWidth="1"/>
    <col min="1279" max="1286" width="21.08984375" style="959" bestFit="1" customWidth="1"/>
    <col min="1287" max="1287" width="22.6328125" style="959" customWidth="1"/>
    <col min="1288" max="1288" width="22" style="959" customWidth="1"/>
    <col min="1289" max="1289" width="22.6328125" style="959" customWidth="1"/>
    <col min="1290" max="1295" width="21.08984375" style="959" bestFit="1" customWidth="1"/>
    <col min="1296" max="1296" width="19.54296875" style="959" customWidth="1"/>
    <col min="1297" max="1297" width="21.08984375" style="959" bestFit="1" customWidth="1"/>
    <col min="1298" max="1298" width="22.6328125" style="959" customWidth="1"/>
    <col min="1299" max="1299" width="22" style="959" customWidth="1"/>
    <col min="1300" max="1300" width="23.453125" style="959" bestFit="1" customWidth="1"/>
    <col min="1301" max="1303" width="9.08984375" style="959"/>
    <col min="1304" max="1304" width="11.36328125" style="959" customWidth="1"/>
    <col min="1305" max="1305" width="10.36328125" style="959" customWidth="1"/>
    <col min="1306" max="1513" width="9.08984375" style="959"/>
    <col min="1514" max="1514" width="2.90625" style="959" customWidth="1"/>
    <col min="1515" max="1515" width="13.08984375" style="959" customWidth="1"/>
    <col min="1516" max="1516" width="60.36328125" style="959" customWidth="1"/>
    <col min="1517" max="1521" width="10.90625" style="959" bestFit="1" customWidth="1"/>
    <col min="1522" max="1522" width="11.90625" style="959" bestFit="1" customWidth="1"/>
    <col min="1523" max="1523" width="14.36328125" style="959" bestFit="1" customWidth="1"/>
    <col min="1524" max="1524" width="17.453125" style="959" bestFit="1" customWidth="1"/>
    <col min="1525" max="1527" width="17.54296875" style="959" bestFit="1" customWidth="1"/>
    <col min="1528" max="1534" width="21" style="959" bestFit="1" customWidth="1"/>
    <col min="1535" max="1542" width="21.08984375" style="959" bestFit="1" customWidth="1"/>
    <col min="1543" max="1543" width="22.6328125" style="959" customWidth="1"/>
    <col min="1544" max="1544" width="22" style="959" customWidth="1"/>
    <col min="1545" max="1545" width="22.6328125" style="959" customWidth="1"/>
    <col min="1546" max="1551" width="21.08984375" style="959" bestFit="1" customWidth="1"/>
    <col min="1552" max="1552" width="19.54296875" style="959" customWidth="1"/>
    <col min="1553" max="1553" width="21.08984375" style="959" bestFit="1" customWidth="1"/>
    <col min="1554" max="1554" width="22.6328125" style="959" customWidth="1"/>
    <col min="1555" max="1555" width="22" style="959" customWidth="1"/>
    <col min="1556" max="1556" width="23.453125" style="959" bestFit="1" customWidth="1"/>
    <col min="1557" max="1559" width="9.08984375" style="959"/>
    <col min="1560" max="1560" width="11.36328125" style="959" customWidth="1"/>
    <col min="1561" max="1561" width="10.36328125" style="959" customWidth="1"/>
    <col min="1562" max="1769" width="9.08984375" style="959"/>
    <col min="1770" max="1770" width="2.90625" style="959" customWidth="1"/>
    <col min="1771" max="1771" width="13.08984375" style="959" customWidth="1"/>
    <col min="1772" max="1772" width="60.36328125" style="959" customWidth="1"/>
    <col min="1773" max="1777" width="10.90625" style="959" bestFit="1" customWidth="1"/>
    <col min="1778" max="1778" width="11.90625" style="959" bestFit="1" customWidth="1"/>
    <col min="1779" max="1779" width="14.36328125" style="959" bestFit="1" customWidth="1"/>
    <col min="1780" max="1780" width="17.453125" style="959" bestFit="1" customWidth="1"/>
    <col min="1781" max="1783" width="17.54296875" style="959" bestFit="1" customWidth="1"/>
    <col min="1784" max="1790" width="21" style="959" bestFit="1" customWidth="1"/>
    <col min="1791" max="1798" width="21.08984375" style="959" bestFit="1" customWidth="1"/>
    <col min="1799" max="1799" width="22.6328125" style="959" customWidth="1"/>
    <col min="1800" max="1800" width="22" style="959" customWidth="1"/>
    <col min="1801" max="1801" width="22.6328125" style="959" customWidth="1"/>
    <col min="1802" max="1807" width="21.08984375" style="959" bestFit="1" customWidth="1"/>
    <col min="1808" max="1808" width="19.54296875" style="959" customWidth="1"/>
    <col min="1809" max="1809" width="21.08984375" style="959" bestFit="1" customWidth="1"/>
    <col min="1810" max="1810" width="22.6328125" style="959" customWidth="1"/>
    <col min="1811" max="1811" width="22" style="959" customWidth="1"/>
    <col min="1812" max="1812" width="23.453125" style="959" bestFit="1" customWidth="1"/>
    <col min="1813" max="1815" width="9.08984375" style="959"/>
    <col min="1816" max="1816" width="11.36328125" style="959" customWidth="1"/>
    <col min="1817" max="1817" width="10.36328125" style="959" customWidth="1"/>
    <col min="1818" max="2025" width="9.08984375" style="959"/>
    <col min="2026" max="2026" width="2.90625" style="959" customWidth="1"/>
    <col min="2027" max="2027" width="13.08984375" style="959" customWidth="1"/>
    <col min="2028" max="2028" width="60.36328125" style="959" customWidth="1"/>
    <col min="2029" max="2033" width="10.90625" style="959" bestFit="1" customWidth="1"/>
    <col min="2034" max="2034" width="11.90625" style="959" bestFit="1" customWidth="1"/>
    <col min="2035" max="2035" width="14.36328125" style="959" bestFit="1" customWidth="1"/>
    <col min="2036" max="2036" width="17.453125" style="959" bestFit="1" customWidth="1"/>
    <col min="2037" max="2039" width="17.54296875" style="959" bestFit="1" customWidth="1"/>
    <col min="2040" max="2046" width="21" style="959" bestFit="1" customWidth="1"/>
    <col min="2047" max="2054" width="21.08984375" style="959" bestFit="1" customWidth="1"/>
    <col min="2055" max="2055" width="22.6328125" style="959" customWidth="1"/>
    <col min="2056" max="2056" width="22" style="959" customWidth="1"/>
    <col min="2057" max="2057" width="22.6328125" style="959" customWidth="1"/>
    <col min="2058" max="2063" width="21.08984375" style="959" bestFit="1" customWidth="1"/>
    <col min="2064" max="2064" width="19.54296875" style="959" customWidth="1"/>
    <col min="2065" max="2065" width="21.08984375" style="959" bestFit="1" customWidth="1"/>
    <col min="2066" max="2066" width="22.6328125" style="959" customWidth="1"/>
    <col min="2067" max="2067" width="22" style="959" customWidth="1"/>
    <col min="2068" max="2068" width="23.453125" style="959" bestFit="1" customWidth="1"/>
    <col min="2069" max="2071" width="9.08984375" style="959"/>
    <col min="2072" max="2072" width="11.36328125" style="959" customWidth="1"/>
    <col min="2073" max="2073" width="10.36328125" style="959" customWidth="1"/>
    <col min="2074" max="2281" width="9.08984375" style="959"/>
    <col min="2282" max="2282" width="2.90625" style="959" customWidth="1"/>
    <col min="2283" max="2283" width="13.08984375" style="959" customWidth="1"/>
    <col min="2284" max="2284" width="60.36328125" style="959" customWidth="1"/>
    <col min="2285" max="2289" width="10.90625" style="959" bestFit="1" customWidth="1"/>
    <col min="2290" max="2290" width="11.90625" style="959" bestFit="1" customWidth="1"/>
    <col min="2291" max="2291" width="14.36328125" style="959" bestFit="1" customWidth="1"/>
    <col min="2292" max="2292" width="17.453125" style="959" bestFit="1" customWidth="1"/>
    <col min="2293" max="2295" width="17.54296875" style="959" bestFit="1" customWidth="1"/>
    <col min="2296" max="2302" width="21" style="959" bestFit="1" customWidth="1"/>
    <col min="2303" max="2310" width="21.08984375" style="959" bestFit="1" customWidth="1"/>
    <col min="2311" max="2311" width="22.6328125" style="959" customWidth="1"/>
    <col min="2312" max="2312" width="22" style="959" customWidth="1"/>
    <col min="2313" max="2313" width="22.6328125" style="959" customWidth="1"/>
    <col min="2314" max="2319" width="21.08984375" style="959" bestFit="1" customWidth="1"/>
    <col min="2320" max="2320" width="19.54296875" style="959" customWidth="1"/>
    <col min="2321" max="2321" width="21.08984375" style="959" bestFit="1" customWidth="1"/>
    <col min="2322" max="2322" width="22.6328125" style="959" customWidth="1"/>
    <col min="2323" max="2323" width="22" style="959" customWidth="1"/>
    <col min="2324" max="2324" width="23.453125" style="959" bestFit="1" customWidth="1"/>
    <col min="2325" max="2327" width="9.08984375" style="959"/>
    <col min="2328" max="2328" width="11.36328125" style="959" customWidth="1"/>
    <col min="2329" max="2329" width="10.36328125" style="959" customWidth="1"/>
    <col min="2330" max="2537" width="9.08984375" style="959"/>
    <col min="2538" max="2538" width="2.90625" style="959" customWidth="1"/>
    <col min="2539" max="2539" width="13.08984375" style="959" customWidth="1"/>
    <col min="2540" max="2540" width="60.36328125" style="959" customWidth="1"/>
    <col min="2541" max="2545" width="10.90625" style="959" bestFit="1" customWidth="1"/>
    <col min="2546" max="2546" width="11.90625" style="959" bestFit="1" customWidth="1"/>
    <col min="2547" max="2547" width="14.36328125" style="959" bestFit="1" customWidth="1"/>
    <col min="2548" max="2548" width="17.453125" style="959" bestFit="1" customWidth="1"/>
    <col min="2549" max="2551" width="17.54296875" style="959" bestFit="1" customWidth="1"/>
    <col min="2552" max="2558" width="21" style="959" bestFit="1" customWidth="1"/>
    <col min="2559" max="2566" width="21.08984375" style="959" bestFit="1" customWidth="1"/>
    <col min="2567" max="2567" width="22.6328125" style="959" customWidth="1"/>
    <col min="2568" max="2568" width="22" style="959" customWidth="1"/>
    <col min="2569" max="2569" width="22.6328125" style="959" customWidth="1"/>
    <col min="2570" max="2575" width="21.08984375" style="959" bestFit="1" customWidth="1"/>
    <col min="2576" max="2576" width="19.54296875" style="959" customWidth="1"/>
    <col min="2577" max="2577" width="21.08984375" style="959" bestFit="1" customWidth="1"/>
    <col min="2578" max="2578" width="22.6328125" style="959" customWidth="1"/>
    <col min="2579" max="2579" width="22" style="959" customWidth="1"/>
    <col min="2580" max="2580" width="23.453125" style="959" bestFit="1" customWidth="1"/>
    <col min="2581" max="2583" width="9.08984375" style="959"/>
    <col min="2584" max="2584" width="11.36328125" style="959" customWidth="1"/>
    <col min="2585" max="2585" width="10.36328125" style="959" customWidth="1"/>
    <col min="2586" max="2793" width="9.08984375" style="959"/>
    <col min="2794" max="2794" width="2.90625" style="959" customWidth="1"/>
    <col min="2795" max="2795" width="13.08984375" style="959" customWidth="1"/>
    <col min="2796" max="2796" width="60.36328125" style="959" customWidth="1"/>
    <col min="2797" max="2801" width="10.90625" style="959" bestFit="1" customWidth="1"/>
    <col min="2802" max="2802" width="11.90625" style="959" bestFit="1" customWidth="1"/>
    <col min="2803" max="2803" width="14.36328125" style="959" bestFit="1" customWidth="1"/>
    <col min="2804" max="2804" width="17.453125" style="959" bestFit="1" customWidth="1"/>
    <col min="2805" max="2807" width="17.54296875" style="959" bestFit="1" customWidth="1"/>
    <col min="2808" max="2814" width="21" style="959" bestFit="1" customWidth="1"/>
    <col min="2815" max="2822" width="21.08984375" style="959" bestFit="1" customWidth="1"/>
    <col min="2823" max="2823" width="22.6328125" style="959" customWidth="1"/>
    <col min="2824" max="2824" width="22" style="959" customWidth="1"/>
    <col min="2825" max="2825" width="22.6328125" style="959" customWidth="1"/>
    <col min="2826" max="2831" width="21.08984375" style="959" bestFit="1" customWidth="1"/>
    <col min="2832" max="2832" width="19.54296875" style="959" customWidth="1"/>
    <col min="2833" max="2833" width="21.08984375" style="959" bestFit="1" customWidth="1"/>
    <col min="2834" max="2834" width="22.6328125" style="959" customWidth="1"/>
    <col min="2835" max="2835" width="22" style="959" customWidth="1"/>
    <col min="2836" max="2836" width="23.453125" style="959" bestFit="1" customWidth="1"/>
    <col min="2837" max="2839" width="9.08984375" style="959"/>
    <col min="2840" max="2840" width="11.36328125" style="959" customWidth="1"/>
    <col min="2841" max="2841" width="10.36328125" style="959" customWidth="1"/>
    <col min="2842" max="3049" width="9.08984375" style="959"/>
    <col min="3050" max="3050" width="2.90625" style="959" customWidth="1"/>
    <col min="3051" max="3051" width="13.08984375" style="959" customWidth="1"/>
    <col min="3052" max="3052" width="60.36328125" style="959" customWidth="1"/>
    <col min="3053" max="3057" width="10.90625" style="959" bestFit="1" customWidth="1"/>
    <col min="3058" max="3058" width="11.90625" style="959" bestFit="1" customWidth="1"/>
    <col min="3059" max="3059" width="14.36328125" style="959" bestFit="1" customWidth="1"/>
    <col min="3060" max="3060" width="17.453125" style="959" bestFit="1" customWidth="1"/>
    <col min="3061" max="3063" width="17.54296875" style="959" bestFit="1" customWidth="1"/>
    <col min="3064" max="3070" width="21" style="959" bestFit="1" customWidth="1"/>
    <col min="3071" max="3078" width="21.08984375" style="959" bestFit="1" customWidth="1"/>
    <col min="3079" max="3079" width="22.6328125" style="959" customWidth="1"/>
    <col min="3080" max="3080" width="22" style="959" customWidth="1"/>
    <col min="3081" max="3081" width="22.6328125" style="959" customWidth="1"/>
    <col min="3082" max="3087" width="21.08984375" style="959" bestFit="1" customWidth="1"/>
    <col min="3088" max="3088" width="19.54296875" style="959" customWidth="1"/>
    <col min="3089" max="3089" width="21.08984375" style="959" bestFit="1" customWidth="1"/>
    <col min="3090" max="3090" width="22.6328125" style="959" customWidth="1"/>
    <col min="3091" max="3091" width="22" style="959" customWidth="1"/>
    <col min="3092" max="3092" width="23.453125" style="959" bestFit="1" customWidth="1"/>
    <col min="3093" max="3095" width="9.08984375" style="959"/>
    <col min="3096" max="3096" width="11.36328125" style="959" customWidth="1"/>
    <col min="3097" max="3097" width="10.36328125" style="959" customWidth="1"/>
    <col min="3098" max="3305" width="9.08984375" style="959"/>
    <col min="3306" max="3306" width="2.90625" style="959" customWidth="1"/>
    <col min="3307" max="3307" width="13.08984375" style="959" customWidth="1"/>
    <col min="3308" max="3308" width="60.36328125" style="959" customWidth="1"/>
    <col min="3309" max="3313" width="10.90625" style="959" bestFit="1" customWidth="1"/>
    <col min="3314" max="3314" width="11.90625" style="959" bestFit="1" customWidth="1"/>
    <col min="3315" max="3315" width="14.36328125" style="959" bestFit="1" customWidth="1"/>
    <col min="3316" max="3316" width="17.453125" style="959" bestFit="1" customWidth="1"/>
    <col min="3317" max="3319" width="17.54296875" style="959" bestFit="1" customWidth="1"/>
    <col min="3320" max="3326" width="21" style="959" bestFit="1" customWidth="1"/>
    <col min="3327" max="3334" width="21.08984375" style="959" bestFit="1" customWidth="1"/>
    <col min="3335" max="3335" width="22.6328125" style="959" customWidth="1"/>
    <col min="3336" max="3336" width="22" style="959" customWidth="1"/>
    <col min="3337" max="3337" width="22.6328125" style="959" customWidth="1"/>
    <col min="3338" max="3343" width="21.08984375" style="959" bestFit="1" customWidth="1"/>
    <col min="3344" max="3344" width="19.54296875" style="959" customWidth="1"/>
    <col min="3345" max="3345" width="21.08984375" style="959" bestFit="1" customWidth="1"/>
    <col min="3346" max="3346" width="22.6328125" style="959" customWidth="1"/>
    <col min="3347" max="3347" width="22" style="959" customWidth="1"/>
    <col min="3348" max="3348" width="23.453125" style="959" bestFit="1" customWidth="1"/>
    <col min="3349" max="3351" width="9.08984375" style="959"/>
    <col min="3352" max="3352" width="11.36328125" style="959" customWidth="1"/>
    <col min="3353" max="3353" width="10.36328125" style="959" customWidth="1"/>
    <col min="3354" max="3561" width="9.08984375" style="959"/>
    <col min="3562" max="3562" width="2.90625" style="959" customWidth="1"/>
    <col min="3563" max="3563" width="13.08984375" style="959" customWidth="1"/>
    <col min="3564" max="3564" width="60.36328125" style="959" customWidth="1"/>
    <col min="3565" max="3569" width="10.90625" style="959" bestFit="1" customWidth="1"/>
    <col min="3570" max="3570" width="11.90625" style="959" bestFit="1" customWidth="1"/>
    <col min="3571" max="3571" width="14.36328125" style="959" bestFit="1" customWidth="1"/>
    <col min="3572" max="3572" width="17.453125" style="959" bestFit="1" customWidth="1"/>
    <col min="3573" max="3575" width="17.54296875" style="959" bestFit="1" customWidth="1"/>
    <col min="3576" max="3582" width="21" style="959" bestFit="1" customWidth="1"/>
    <col min="3583" max="3590" width="21.08984375" style="959" bestFit="1" customWidth="1"/>
    <col min="3591" max="3591" width="22.6328125" style="959" customWidth="1"/>
    <col min="3592" max="3592" width="22" style="959" customWidth="1"/>
    <col min="3593" max="3593" width="22.6328125" style="959" customWidth="1"/>
    <col min="3594" max="3599" width="21.08984375" style="959" bestFit="1" customWidth="1"/>
    <col min="3600" max="3600" width="19.54296875" style="959" customWidth="1"/>
    <col min="3601" max="3601" width="21.08984375" style="959" bestFit="1" customWidth="1"/>
    <col min="3602" max="3602" width="22.6328125" style="959" customWidth="1"/>
    <col min="3603" max="3603" width="22" style="959" customWidth="1"/>
    <col min="3604" max="3604" width="23.453125" style="959" bestFit="1" customWidth="1"/>
    <col min="3605" max="3607" width="9.08984375" style="959"/>
    <col min="3608" max="3608" width="11.36328125" style="959" customWidth="1"/>
    <col min="3609" max="3609" width="10.36328125" style="959" customWidth="1"/>
    <col min="3610" max="3817" width="9.08984375" style="959"/>
    <col min="3818" max="3818" width="2.90625" style="959" customWidth="1"/>
    <col min="3819" max="3819" width="13.08984375" style="959" customWidth="1"/>
    <col min="3820" max="3820" width="60.36328125" style="959" customWidth="1"/>
    <col min="3821" max="3825" width="10.90625" style="959" bestFit="1" customWidth="1"/>
    <col min="3826" max="3826" width="11.90625" style="959" bestFit="1" customWidth="1"/>
    <col min="3827" max="3827" width="14.36328125" style="959" bestFit="1" customWidth="1"/>
    <col min="3828" max="3828" width="17.453125" style="959" bestFit="1" customWidth="1"/>
    <col min="3829" max="3831" width="17.54296875" style="959" bestFit="1" customWidth="1"/>
    <col min="3832" max="3838" width="21" style="959" bestFit="1" customWidth="1"/>
    <col min="3839" max="3846" width="21.08984375" style="959" bestFit="1" customWidth="1"/>
    <col min="3847" max="3847" width="22.6328125" style="959" customWidth="1"/>
    <col min="3848" max="3848" width="22" style="959" customWidth="1"/>
    <col min="3849" max="3849" width="22.6328125" style="959" customWidth="1"/>
    <col min="3850" max="3855" width="21.08984375" style="959" bestFit="1" customWidth="1"/>
    <col min="3856" max="3856" width="19.54296875" style="959" customWidth="1"/>
    <col min="3857" max="3857" width="21.08984375" style="959" bestFit="1" customWidth="1"/>
    <col min="3858" max="3858" width="22.6328125" style="959" customWidth="1"/>
    <col min="3859" max="3859" width="22" style="959" customWidth="1"/>
    <col min="3860" max="3860" width="23.453125" style="959" bestFit="1" customWidth="1"/>
    <col min="3861" max="3863" width="9.08984375" style="959"/>
    <col min="3864" max="3864" width="11.36328125" style="959" customWidth="1"/>
    <col min="3865" max="3865" width="10.36328125" style="959" customWidth="1"/>
    <col min="3866" max="4073" width="9.08984375" style="959"/>
    <col min="4074" max="4074" width="2.90625" style="959" customWidth="1"/>
    <col min="4075" max="4075" width="13.08984375" style="959" customWidth="1"/>
    <col min="4076" max="4076" width="60.36328125" style="959" customWidth="1"/>
    <col min="4077" max="4081" width="10.90625" style="959" bestFit="1" customWidth="1"/>
    <col min="4082" max="4082" width="11.90625" style="959" bestFit="1" customWidth="1"/>
    <col min="4083" max="4083" width="14.36328125" style="959" bestFit="1" customWidth="1"/>
    <col min="4084" max="4084" width="17.453125" style="959" bestFit="1" customWidth="1"/>
    <col min="4085" max="4087" width="17.54296875" style="959" bestFit="1" customWidth="1"/>
    <col min="4088" max="4094" width="21" style="959" bestFit="1" customWidth="1"/>
    <col min="4095" max="4102" width="21.08984375" style="959" bestFit="1" customWidth="1"/>
    <col min="4103" max="4103" width="22.6328125" style="959" customWidth="1"/>
    <col min="4104" max="4104" width="22" style="959" customWidth="1"/>
    <col min="4105" max="4105" width="22.6328125" style="959" customWidth="1"/>
    <col min="4106" max="4111" width="21.08984375" style="959" bestFit="1" customWidth="1"/>
    <col min="4112" max="4112" width="19.54296875" style="959" customWidth="1"/>
    <col min="4113" max="4113" width="21.08984375" style="959" bestFit="1" customWidth="1"/>
    <col min="4114" max="4114" width="22.6328125" style="959" customWidth="1"/>
    <col min="4115" max="4115" width="22" style="959" customWidth="1"/>
    <col min="4116" max="4116" width="23.453125" style="959" bestFit="1" customWidth="1"/>
    <col min="4117" max="4119" width="9.08984375" style="959"/>
    <col min="4120" max="4120" width="11.36328125" style="959" customWidth="1"/>
    <col min="4121" max="4121" width="10.36328125" style="959" customWidth="1"/>
    <col min="4122" max="4329" width="9.08984375" style="959"/>
    <col min="4330" max="4330" width="2.90625" style="959" customWidth="1"/>
    <col min="4331" max="4331" width="13.08984375" style="959" customWidth="1"/>
    <col min="4332" max="4332" width="60.36328125" style="959" customWidth="1"/>
    <col min="4333" max="4337" width="10.90625" style="959" bestFit="1" customWidth="1"/>
    <col min="4338" max="4338" width="11.90625" style="959" bestFit="1" customWidth="1"/>
    <col min="4339" max="4339" width="14.36328125" style="959" bestFit="1" customWidth="1"/>
    <col min="4340" max="4340" width="17.453125" style="959" bestFit="1" customWidth="1"/>
    <col min="4341" max="4343" width="17.54296875" style="959" bestFit="1" customWidth="1"/>
    <col min="4344" max="4350" width="21" style="959" bestFit="1" customWidth="1"/>
    <col min="4351" max="4358" width="21.08984375" style="959" bestFit="1" customWidth="1"/>
    <col min="4359" max="4359" width="22.6328125" style="959" customWidth="1"/>
    <col min="4360" max="4360" width="22" style="959" customWidth="1"/>
    <col min="4361" max="4361" width="22.6328125" style="959" customWidth="1"/>
    <col min="4362" max="4367" width="21.08984375" style="959" bestFit="1" customWidth="1"/>
    <col min="4368" max="4368" width="19.54296875" style="959" customWidth="1"/>
    <col min="4369" max="4369" width="21.08984375" style="959" bestFit="1" customWidth="1"/>
    <col min="4370" max="4370" width="22.6328125" style="959" customWidth="1"/>
    <col min="4371" max="4371" width="22" style="959" customWidth="1"/>
    <col min="4372" max="4372" width="23.453125" style="959" bestFit="1" customWidth="1"/>
    <col min="4373" max="4375" width="9.08984375" style="959"/>
    <col min="4376" max="4376" width="11.36328125" style="959" customWidth="1"/>
    <col min="4377" max="4377" width="10.36328125" style="959" customWidth="1"/>
    <col min="4378" max="4585" width="9.08984375" style="959"/>
    <col min="4586" max="4586" width="2.90625" style="959" customWidth="1"/>
    <col min="4587" max="4587" width="13.08984375" style="959" customWidth="1"/>
    <col min="4588" max="4588" width="60.36328125" style="959" customWidth="1"/>
    <col min="4589" max="4593" width="10.90625" style="959" bestFit="1" customWidth="1"/>
    <col min="4594" max="4594" width="11.90625" style="959" bestFit="1" customWidth="1"/>
    <col min="4595" max="4595" width="14.36328125" style="959" bestFit="1" customWidth="1"/>
    <col min="4596" max="4596" width="17.453125" style="959" bestFit="1" customWidth="1"/>
    <col min="4597" max="4599" width="17.54296875" style="959" bestFit="1" customWidth="1"/>
    <col min="4600" max="4606" width="21" style="959" bestFit="1" customWidth="1"/>
    <col min="4607" max="4614" width="21.08984375" style="959" bestFit="1" customWidth="1"/>
    <col min="4615" max="4615" width="22.6328125" style="959" customWidth="1"/>
    <col min="4616" max="4616" width="22" style="959" customWidth="1"/>
    <col min="4617" max="4617" width="22.6328125" style="959" customWidth="1"/>
    <col min="4618" max="4623" width="21.08984375" style="959" bestFit="1" customWidth="1"/>
    <col min="4624" max="4624" width="19.54296875" style="959" customWidth="1"/>
    <col min="4625" max="4625" width="21.08984375" style="959" bestFit="1" customWidth="1"/>
    <col min="4626" max="4626" width="22.6328125" style="959" customWidth="1"/>
    <col min="4627" max="4627" width="22" style="959" customWidth="1"/>
    <col min="4628" max="4628" width="23.453125" style="959" bestFit="1" customWidth="1"/>
    <col min="4629" max="4631" width="9.08984375" style="959"/>
    <col min="4632" max="4632" width="11.36328125" style="959" customWidth="1"/>
    <col min="4633" max="4633" width="10.36328125" style="959" customWidth="1"/>
    <col min="4634" max="4841" width="9.08984375" style="959"/>
    <col min="4842" max="4842" width="2.90625" style="959" customWidth="1"/>
    <col min="4843" max="4843" width="13.08984375" style="959" customWidth="1"/>
    <col min="4844" max="4844" width="60.36328125" style="959" customWidth="1"/>
    <col min="4845" max="4849" width="10.90625" style="959" bestFit="1" customWidth="1"/>
    <col min="4850" max="4850" width="11.90625" style="959" bestFit="1" customWidth="1"/>
    <col min="4851" max="4851" width="14.36328125" style="959" bestFit="1" customWidth="1"/>
    <col min="4852" max="4852" width="17.453125" style="959" bestFit="1" customWidth="1"/>
    <col min="4853" max="4855" width="17.54296875" style="959" bestFit="1" customWidth="1"/>
    <col min="4856" max="4862" width="21" style="959" bestFit="1" customWidth="1"/>
    <col min="4863" max="4870" width="21.08984375" style="959" bestFit="1" customWidth="1"/>
    <col min="4871" max="4871" width="22.6328125" style="959" customWidth="1"/>
    <col min="4872" max="4872" width="22" style="959" customWidth="1"/>
    <col min="4873" max="4873" width="22.6328125" style="959" customWidth="1"/>
    <col min="4874" max="4879" width="21.08984375" style="959" bestFit="1" customWidth="1"/>
    <col min="4880" max="4880" width="19.54296875" style="959" customWidth="1"/>
    <col min="4881" max="4881" width="21.08984375" style="959" bestFit="1" customWidth="1"/>
    <col min="4882" max="4882" width="22.6328125" style="959" customWidth="1"/>
    <col min="4883" max="4883" width="22" style="959" customWidth="1"/>
    <col min="4884" max="4884" width="23.453125" style="959" bestFit="1" customWidth="1"/>
    <col min="4885" max="4887" width="9.08984375" style="959"/>
    <col min="4888" max="4888" width="11.36328125" style="959" customWidth="1"/>
    <col min="4889" max="4889" width="10.36328125" style="959" customWidth="1"/>
    <col min="4890" max="5097" width="9.08984375" style="959"/>
    <col min="5098" max="5098" width="2.90625" style="959" customWidth="1"/>
    <col min="5099" max="5099" width="13.08984375" style="959" customWidth="1"/>
    <col min="5100" max="5100" width="60.36328125" style="959" customWidth="1"/>
    <col min="5101" max="5105" width="10.90625" style="959" bestFit="1" customWidth="1"/>
    <col min="5106" max="5106" width="11.90625" style="959" bestFit="1" customWidth="1"/>
    <col min="5107" max="5107" width="14.36328125" style="959" bestFit="1" customWidth="1"/>
    <col min="5108" max="5108" width="17.453125" style="959" bestFit="1" customWidth="1"/>
    <col min="5109" max="5111" width="17.54296875" style="959" bestFit="1" customWidth="1"/>
    <col min="5112" max="5118" width="21" style="959" bestFit="1" customWidth="1"/>
    <col min="5119" max="5126" width="21.08984375" style="959" bestFit="1" customWidth="1"/>
    <col min="5127" max="5127" width="22.6328125" style="959" customWidth="1"/>
    <col min="5128" max="5128" width="22" style="959" customWidth="1"/>
    <col min="5129" max="5129" width="22.6328125" style="959" customWidth="1"/>
    <col min="5130" max="5135" width="21.08984375" style="959" bestFit="1" customWidth="1"/>
    <col min="5136" max="5136" width="19.54296875" style="959" customWidth="1"/>
    <col min="5137" max="5137" width="21.08984375" style="959" bestFit="1" customWidth="1"/>
    <col min="5138" max="5138" width="22.6328125" style="959" customWidth="1"/>
    <col min="5139" max="5139" width="22" style="959" customWidth="1"/>
    <col min="5140" max="5140" width="23.453125" style="959" bestFit="1" customWidth="1"/>
    <col min="5141" max="5143" width="9.08984375" style="959"/>
    <col min="5144" max="5144" width="11.36328125" style="959" customWidth="1"/>
    <col min="5145" max="5145" width="10.36328125" style="959" customWidth="1"/>
    <col min="5146" max="5353" width="9.08984375" style="959"/>
    <col min="5354" max="5354" width="2.90625" style="959" customWidth="1"/>
    <col min="5355" max="5355" width="13.08984375" style="959" customWidth="1"/>
    <col min="5356" max="5356" width="60.36328125" style="959" customWidth="1"/>
    <col min="5357" max="5361" width="10.90625" style="959" bestFit="1" customWidth="1"/>
    <col min="5362" max="5362" width="11.90625" style="959" bestFit="1" customWidth="1"/>
    <col min="5363" max="5363" width="14.36328125" style="959" bestFit="1" customWidth="1"/>
    <col min="5364" max="5364" width="17.453125" style="959" bestFit="1" customWidth="1"/>
    <col min="5365" max="5367" width="17.54296875" style="959" bestFit="1" customWidth="1"/>
    <col min="5368" max="5374" width="21" style="959" bestFit="1" customWidth="1"/>
    <col min="5375" max="5382" width="21.08984375" style="959" bestFit="1" customWidth="1"/>
    <col min="5383" max="5383" width="22.6328125" style="959" customWidth="1"/>
    <col min="5384" max="5384" width="22" style="959" customWidth="1"/>
    <col min="5385" max="5385" width="22.6328125" style="959" customWidth="1"/>
    <col min="5386" max="5391" width="21.08984375" style="959" bestFit="1" customWidth="1"/>
    <col min="5392" max="5392" width="19.54296875" style="959" customWidth="1"/>
    <col min="5393" max="5393" width="21.08984375" style="959" bestFit="1" customWidth="1"/>
    <col min="5394" max="5394" width="22.6328125" style="959" customWidth="1"/>
    <col min="5395" max="5395" width="22" style="959" customWidth="1"/>
    <col min="5396" max="5396" width="23.453125" style="959" bestFit="1" customWidth="1"/>
    <col min="5397" max="5399" width="9.08984375" style="959"/>
    <col min="5400" max="5400" width="11.36328125" style="959" customWidth="1"/>
    <col min="5401" max="5401" width="10.36328125" style="959" customWidth="1"/>
    <col min="5402" max="5609" width="9.08984375" style="959"/>
    <col min="5610" max="5610" width="2.90625" style="959" customWidth="1"/>
    <col min="5611" max="5611" width="13.08984375" style="959" customWidth="1"/>
    <col min="5612" max="5612" width="60.36328125" style="959" customWidth="1"/>
    <col min="5613" max="5617" width="10.90625" style="959" bestFit="1" customWidth="1"/>
    <col min="5618" max="5618" width="11.90625" style="959" bestFit="1" customWidth="1"/>
    <col min="5619" max="5619" width="14.36328125" style="959" bestFit="1" customWidth="1"/>
    <col min="5620" max="5620" width="17.453125" style="959" bestFit="1" customWidth="1"/>
    <col min="5621" max="5623" width="17.54296875" style="959" bestFit="1" customWidth="1"/>
    <col min="5624" max="5630" width="21" style="959" bestFit="1" customWidth="1"/>
    <col min="5631" max="5638" width="21.08984375" style="959" bestFit="1" customWidth="1"/>
    <col min="5639" max="5639" width="22.6328125" style="959" customWidth="1"/>
    <col min="5640" max="5640" width="22" style="959" customWidth="1"/>
    <col min="5641" max="5641" width="22.6328125" style="959" customWidth="1"/>
    <col min="5642" max="5647" width="21.08984375" style="959" bestFit="1" customWidth="1"/>
    <col min="5648" max="5648" width="19.54296875" style="959" customWidth="1"/>
    <col min="5649" max="5649" width="21.08984375" style="959" bestFit="1" customWidth="1"/>
    <col min="5650" max="5650" width="22.6328125" style="959" customWidth="1"/>
    <col min="5651" max="5651" width="22" style="959" customWidth="1"/>
    <col min="5652" max="5652" width="23.453125" style="959" bestFit="1" customWidth="1"/>
    <col min="5653" max="5655" width="9.08984375" style="959"/>
    <col min="5656" max="5656" width="11.36328125" style="959" customWidth="1"/>
    <col min="5657" max="5657" width="10.36328125" style="959" customWidth="1"/>
    <col min="5658" max="5865" width="9.08984375" style="959"/>
    <col min="5866" max="5866" width="2.90625" style="959" customWidth="1"/>
    <col min="5867" max="5867" width="13.08984375" style="959" customWidth="1"/>
    <col min="5868" max="5868" width="60.36328125" style="959" customWidth="1"/>
    <col min="5869" max="5873" width="10.90625" style="959" bestFit="1" customWidth="1"/>
    <col min="5874" max="5874" width="11.90625" style="959" bestFit="1" customWidth="1"/>
    <col min="5875" max="5875" width="14.36328125" style="959" bestFit="1" customWidth="1"/>
    <col min="5876" max="5876" width="17.453125" style="959" bestFit="1" customWidth="1"/>
    <col min="5877" max="5879" width="17.54296875" style="959" bestFit="1" customWidth="1"/>
    <col min="5880" max="5886" width="21" style="959" bestFit="1" customWidth="1"/>
    <col min="5887" max="5894" width="21.08984375" style="959" bestFit="1" customWidth="1"/>
    <col min="5895" max="5895" width="22.6328125" style="959" customWidth="1"/>
    <col min="5896" max="5896" width="22" style="959" customWidth="1"/>
    <col min="5897" max="5897" width="22.6328125" style="959" customWidth="1"/>
    <col min="5898" max="5903" width="21.08984375" style="959" bestFit="1" customWidth="1"/>
    <col min="5904" max="5904" width="19.54296875" style="959" customWidth="1"/>
    <col min="5905" max="5905" width="21.08984375" style="959" bestFit="1" customWidth="1"/>
    <col min="5906" max="5906" width="22.6328125" style="959" customWidth="1"/>
    <col min="5907" max="5907" width="22" style="959" customWidth="1"/>
    <col min="5908" max="5908" width="23.453125" style="959" bestFit="1" customWidth="1"/>
    <col min="5909" max="5911" width="9.08984375" style="959"/>
    <col min="5912" max="5912" width="11.36328125" style="959" customWidth="1"/>
    <col min="5913" max="5913" width="10.36328125" style="959" customWidth="1"/>
    <col min="5914" max="6121" width="9.08984375" style="959"/>
    <col min="6122" max="6122" width="2.90625" style="959" customWidth="1"/>
    <col min="6123" max="6123" width="13.08984375" style="959" customWidth="1"/>
    <col min="6124" max="6124" width="60.36328125" style="959" customWidth="1"/>
    <col min="6125" max="6129" width="10.90625" style="959" bestFit="1" customWidth="1"/>
    <col min="6130" max="6130" width="11.90625" style="959" bestFit="1" customWidth="1"/>
    <col min="6131" max="6131" width="14.36328125" style="959" bestFit="1" customWidth="1"/>
    <col min="6132" max="6132" width="17.453125" style="959" bestFit="1" customWidth="1"/>
    <col min="6133" max="6135" width="17.54296875" style="959" bestFit="1" customWidth="1"/>
    <col min="6136" max="6142" width="21" style="959" bestFit="1" customWidth="1"/>
    <col min="6143" max="6150" width="21.08984375" style="959" bestFit="1" customWidth="1"/>
    <col min="6151" max="6151" width="22.6328125" style="959" customWidth="1"/>
    <col min="6152" max="6152" width="22" style="959" customWidth="1"/>
    <col min="6153" max="6153" width="22.6328125" style="959" customWidth="1"/>
    <col min="6154" max="6159" width="21.08984375" style="959" bestFit="1" customWidth="1"/>
    <col min="6160" max="6160" width="19.54296875" style="959" customWidth="1"/>
    <col min="6161" max="6161" width="21.08984375" style="959" bestFit="1" customWidth="1"/>
    <col min="6162" max="6162" width="22.6328125" style="959" customWidth="1"/>
    <col min="6163" max="6163" width="22" style="959" customWidth="1"/>
    <col min="6164" max="6164" width="23.453125" style="959" bestFit="1" customWidth="1"/>
    <col min="6165" max="6167" width="9.08984375" style="959"/>
    <col min="6168" max="6168" width="11.36328125" style="959" customWidth="1"/>
    <col min="6169" max="6169" width="10.36328125" style="959" customWidth="1"/>
    <col min="6170" max="6377" width="9.08984375" style="959"/>
    <col min="6378" max="6378" width="2.90625" style="959" customWidth="1"/>
    <col min="6379" max="6379" width="13.08984375" style="959" customWidth="1"/>
    <col min="6380" max="6380" width="60.36328125" style="959" customWidth="1"/>
    <col min="6381" max="6385" width="10.90625" style="959" bestFit="1" customWidth="1"/>
    <col min="6386" max="6386" width="11.90625" style="959" bestFit="1" customWidth="1"/>
    <col min="6387" max="6387" width="14.36328125" style="959" bestFit="1" customWidth="1"/>
    <col min="6388" max="6388" width="17.453125" style="959" bestFit="1" customWidth="1"/>
    <col min="6389" max="6391" width="17.54296875" style="959" bestFit="1" customWidth="1"/>
    <col min="6392" max="6398" width="21" style="959" bestFit="1" customWidth="1"/>
    <col min="6399" max="6406" width="21.08984375" style="959" bestFit="1" customWidth="1"/>
    <col min="6407" max="6407" width="22.6328125" style="959" customWidth="1"/>
    <col min="6408" max="6408" width="22" style="959" customWidth="1"/>
    <col min="6409" max="6409" width="22.6328125" style="959" customWidth="1"/>
    <col min="6410" max="6415" width="21.08984375" style="959" bestFit="1" customWidth="1"/>
    <col min="6416" max="6416" width="19.54296875" style="959" customWidth="1"/>
    <col min="6417" max="6417" width="21.08984375" style="959" bestFit="1" customWidth="1"/>
    <col min="6418" max="6418" width="22.6328125" style="959" customWidth="1"/>
    <col min="6419" max="6419" width="22" style="959" customWidth="1"/>
    <col min="6420" max="6420" width="23.453125" style="959" bestFit="1" customWidth="1"/>
    <col min="6421" max="6423" width="9.08984375" style="959"/>
    <col min="6424" max="6424" width="11.36328125" style="959" customWidth="1"/>
    <col min="6425" max="6425" width="10.36328125" style="959" customWidth="1"/>
    <col min="6426" max="6633" width="9.08984375" style="959"/>
    <col min="6634" max="6634" width="2.90625" style="959" customWidth="1"/>
    <col min="6635" max="6635" width="13.08984375" style="959" customWidth="1"/>
    <col min="6636" max="6636" width="60.36328125" style="959" customWidth="1"/>
    <col min="6637" max="6641" width="10.90625" style="959" bestFit="1" customWidth="1"/>
    <col min="6642" max="6642" width="11.90625" style="959" bestFit="1" customWidth="1"/>
    <col min="6643" max="6643" width="14.36328125" style="959" bestFit="1" customWidth="1"/>
    <col min="6644" max="6644" width="17.453125" style="959" bestFit="1" customWidth="1"/>
    <col min="6645" max="6647" width="17.54296875" style="959" bestFit="1" customWidth="1"/>
    <col min="6648" max="6654" width="21" style="959" bestFit="1" customWidth="1"/>
    <col min="6655" max="6662" width="21.08984375" style="959" bestFit="1" customWidth="1"/>
    <col min="6663" max="6663" width="22.6328125" style="959" customWidth="1"/>
    <col min="6664" max="6664" width="22" style="959" customWidth="1"/>
    <col min="6665" max="6665" width="22.6328125" style="959" customWidth="1"/>
    <col min="6666" max="6671" width="21.08984375" style="959" bestFit="1" customWidth="1"/>
    <col min="6672" max="6672" width="19.54296875" style="959" customWidth="1"/>
    <col min="6673" max="6673" width="21.08984375" style="959" bestFit="1" customWidth="1"/>
    <col min="6674" max="6674" width="22.6328125" style="959" customWidth="1"/>
    <col min="6675" max="6675" width="22" style="959" customWidth="1"/>
    <col min="6676" max="6676" width="23.453125" style="959" bestFit="1" customWidth="1"/>
    <col min="6677" max="6679" width="9.08984375" style="959"/>
    <col min="6680" max="6680" width="11.36328125" style="959" customWidth="1"/>
    <col min="6681" max="6681" width="10.36328125" style="959" customWidth="1"/>
    <col min="6682" max="6889" width="9.08984375" style="959"/>
    <col min="6890" max="6890" width="2.90625" style="959" customWidth="1"/>
    <col min="6891" max="6891" width="13.08984375" style="959" customWidth="1"/>
    <col min="6892" max="6892" width="60.36328125" style="959" customWidth="1"/>
    <col min="6893" max="6897" width="10.90625" style="959" bestFit="1" customWidth="1"/>
    <col min="6898" max="6898" width="11.90625" style="959" bestFit="1" customWidth="1"/>
    <col min="6899" max="6899" width="14.36328125" style="959" bestFit="1" customWidth="1"/>
    <col min="6900" max="6900" width="17.453125" style="959" bestFit="1" customWidth="1"/>
    <col min="6901" max="6903" width="17.54296875" style="959" bestFit="1" customWidth="1"/>
    <col min="6904" max="6910" width="21" style="959" bestFit="1" customWidth="1"/>
    <col min="6911" max="6918" width="21.08984375" style="959" bestFit="1" customWidth="1"/>
    <col min="6919" max="6919" width="22.6328125" style="959" customWidth="1"/>
    <col min="6920" max="6920" width="22" style="959" customWidth="1"/>
    <col min="6921" max="6921" width="22.6328125" style="959" customWidth="1"/>
    <col min="6922" max="6927" width="21.08984375" style="959" bestFit="1" customWidth="1"/>
    <col min="6928" max="6928" width="19.54296875" style="959" customWidth="1"/>
    <col min="6929" max="6929" width="21.08984375" style="959" bestFit="1" customWidth="1"/>
    <col min="6930" max="6930" width="22.6328125" style="959" customWidth="1"/>
    <col min="6931" max="6931" width="22" style="959" customWidth="1"/>
    <col min="6932" max="6932" width="23.453125" style="959" bestFit="1" customWidth="1"/>
    <col min="6933" max="6935" width="9.08984375" style="959"/>
    <col min="6936" max="6936" width="11.36328125" style="959" customWidth="1"/>
    <col min="6937" max="6937" width="10.36328125" style="959" customWidth="1"/>
    <col min="6938" max="7145" width="9.08984375" style="959"/>
    <col min="7146" max="7146" width="2.90625" style="959" customWidth="1"/>
    <col min="7147" max="7147" width="13.08984375" style="959" customWidth="1"/>
    <col min="7148" max="7148" width="60.36328125" style="959" customWidth="1"/>
    <col min="7149" max="7153" width="10.90625" style="959" bestFit="1" customWidth="1"/>
    <col min="7154" max="7154" width="11.90625" style="959" bestFit="1" customWidth="1"/>
    <col min="7155" max="7155" width="14.36328125" style="959" bestFit="1" customWidth="1"/>
    <col min="7156" max="7156" width="17.453125" style="959" bestFit="1" customWidth="1"/>
    <col min="7157" max="7159" width="17.54296875" style="959" bestFit="1" customWidth="1"/>
    <col min="7160" max="7166" width="21" style="959" bestFit="1" customWidth="1"/>
    <col min="7167" max="7174" width="21.08984375" style="959" bestFit="1" customWidth="1"/>
    <col min="7175" max="7175" width="22.6328125" style="959" customWidth="1"/>
    <col min="7176" max="7176" width="22" style="959" customWidth="1"/>
    <col min="7177" max="7177" width="22.6328125" style="959" customWidth="1"/>
    <col min="7178" max="7183" width="21.08984375" style="959" bestFit="1" customWidth="1"/>
    <col min="7184" max="7184" width="19.54296875" style="959" customWidth="1"/>
    <col min="7185" max="7185" width="21.08984375" style="959" bestFit="1" customWidth="1"/>
    <col min="7186" max="7186" width="22.6328125" style="959" customWidth="1"/>
    <col min="7187" max="7187" width="22" style="959" customWidth="1"/>
    <col min="7188" max="7188" width="23.453125" style="959" bestFit="1" customWidth="1"/>
    <col min="7189" max="7191" width="9.08984375" style="959"/>
    <col min="7192" max="7192" width="11.36328125" style="959" customWidth="1"/>
    <col min="7193" max="7193" width="10.36328125" style="959" customWidth="1"/>
    <col min="7194" max="7401" width="9.08984375" style="959"/>
    <col min="7402" max="7402" width="2.90625" style="959" customWidth="1"/>
    <col min="7403" max="7403" width="13.08984375" style="959" customWidth="1"/>
    <col min="7404" max="7404" width="60.36328125" style="959" customWidth="1"/>
    <col min="7405" max="7409" width="10.90625" style="959" bestFit="1" customWidth="1"/>
    <col min="7410" max="7410" width="11.90625" style="959" bestFit="1" customWidth="1"/>
    <col min="7411" max="7411" width="14.36328125" style="959" bestFit="1" customWidth="1"/>
    <col min="7412" max="7412" width="17.453125" style="959" bestFit="1" customWidth="1"/>
    <col min="7413" max="7415" width="17.54296875" style="959" bestFit="1" customWidth="1"/>
    <col min="7416" max="7422" width="21" style="959" bestFit="1" customWidth="1"/>
    <col min="7423" max="7430" width="21.08984375" style="959" bestFit="1" customWidth="1"/>
    <col min="7431" max="7431" width="22.6328125" style="959" customWidth="1"/>
    <col min="7432" max="7432" width="22" style="959" customWidth="1"/>
    <col min="7433" max="7433" width="22.6328125" style="959" customWidth="1"/>
    <col min="7434" max="7439" width="21.08984375" style="959" bestFit="1" customWidth="1"/>
    <col min="7440" max="7440" width="19.54296875" style="959" customWidth="1"/>
    <col min="7441" max="7441" width="21.08984375" style="959" bestFit="1" customWidth="1"/>
    <col min="7442" max="7442" width="22.6328125" style="959" customWidth="1"/>
    <col min="7443" max="7443" width="22" style="959" customWidth="1"/>
    <col min="7444" max="7444" width="23.453125" style="959" bestFit="1" customWidth="1"/>
    <col min="7445" max="7447" width="9.08984375" style="959"/>
    <col min="7448" max="7448" width="11.36328125" style="959" customWidth="1"/>
    <col min="7449" max="7449" width="10.36328125" style="959" customWidth="1"/>
    <col min="7450" max="7657" width="9.08984375" style="959"/>
    <col min="7658" max="7658" width="2.90625" style="959" customWidth="1"/>
    <col min="7659" max="7659" width="13.08984375" style="959" customWidth="1"/>
    <col min="7660" max="7660" width="60.36328125" style="959" customWidth="1"/>
    <col min="7661" max="7665" width="10.90625" style="959" bestFit="1" customWidth="1"/>
    <col min="7666" max="7666" width="11.90625" style="959" bestFit="1" customWidth="1"/>
    <col min="7667" max="7667" width="14.36328125" style="959" bestFit="1" customWidth="1"/>
    <col min="7668" max="7668" width="17.453125" style="959" bestFit="1" customWidth="1"/>
    <col min="7669" max="7671" width="17.54296875" style="959" bestFit="1" customWidth="1"/>
    <col min="7672" max="7678" width="21" style="959" bestFit="1" customWidth="1"/>
    <col min="7679" max="7686" width="21.08984375" style="959" bestFit="1" customWidth="1"/>
    <col min="7687" max="7687" width="22.6328125" style="959" customWidth="1"/>
    <col min="7688" max="7688" width="22" style="959" customWidth="1"/>
    <col min="7689" max="7689" width="22.6328125" style="959" customWidth="1"/>
    <col min="7690" max="7695" width="21.08984375" style="959" bestFit="1" customWidth="1"/>
    <col min="7696" max="7696" width="19.54296875" style="959" customWidth="1"/>
    <col min="7697" max="7697" width="21.08984375" style="959" bestFit="1" customWidth="1"/>
    <col min="7698" max="7698" width="22.6328125" style="959" customWidth="1"/>
    <col min="7699" max="7699" width="22" style="959" customWidth="1"/>
    <col min="7700" max="7700" width="23.453125" style="959" bestFit="1" customWidth="1"/>
    <col min="7701" max="7703" width="9.08984375" style="959"/>
    <col min="7704" max="7704" width="11.36328125" style="959" customWidth="1"/>
    <col min="7705" max="7705" width="10.36328125" style="959" customWidth="1"/>
    <col min="7706" max="7913" width="9.08984375" style="959"/>
    <col min="7914" max="7914" width="2.90625" style="959" customWidth="1"/>
    <col min="7915" max="7915" width="13.08984375" style="959" customWidth="1"/>
    <col min="7916" max="7916" width="60.36328125" style="959" customWidth="1"/>
    <col min="7917" max="7921" width="10.90625" style="959" bestFit="1" customWidth="1"/>
    <col min="7922" max="7922" width="11.90625" style="959" bestFit="1" customWidth="1"/>
    <col min="7923" max="7923" width="14.36328125" style="959" bestFit="1" customWidth="1"/>
    <col min="7924" max="7924" width="17.453125" style="959" bestFit="1" customWidth="1"/>
    <col min="7925" max="7927" width="17.54296875" style="959" bestFit="1" customWidth="1"/>
    <col min="7928" max="7934" width="21" style="959" bestFit="1" customWidth="1"/>
    <col min="7935" max="7942" width="21.08984375" style="959" bestFit="1" customWidth="1"/>
    <col min="7943" max="7943" width="22.6328125" style="959" customWidth="1"/>
    <col min="7944" max="7944" width="22" style="959" customWidth="1"/>
    <col min="7945" max="7945" width="22.6328125" style="959" customWidth="1"/>
    <col min="7946" max="7951" width="21.08984375" style="959" bestFit="1" customWidth="1"/>
    <col min="7952" max="7952" width="19.54296875" style="959" customWidth="1"/>
    <col min="7953" max="7953" width="21.08984375" style="959" bestFit="1" customWidth="1"/>
    <col min="7954" max="7954" width="22.6328125" style="959" customWidth="1"/>
    <col min="7955" max="7955" width="22" style="959" customWidth="1"/>
    <col min="7956" max="7956" width="23.453125" style="959" bestFit="1" customWidth="1"/>
    <col min="7957" max="7959" width="9.08984375" style="959"/>
    <col min="7960" max="7960" width="11.36328125" style="959" customWidth="1"/>
    <col min="7961" max="7961" width="10.36328125" style="959" customWidth="1"/>
    <col min="7962" max="8169" width="9.08984375" style="959"/>
    <col min="8170" max="8170" width="2.90625" style="959" customWidth="1"/>
    <col min="8171" max="8171" width="13.08984375" style="959" customWidth="1"/>
    <col min="8172" max="8172" width="60.36328125" style="959" customWidth="1"/>
    <col min="8173" max="8177" width="10.90625" style="959" bestFit="1" customWidth="1"/>
    <col min="8178" max="8178" width="11.90625" style="959" bestFit="1" customWidth="1"/>
    <col min="8179" max="8179" width="14.36328125" style="959" bestFit="1" customWidth="1"/>
    <col min="8180" max="8180" width="17.453125" style="959" bestFit="1" customWidth="1"/>
    <col min="8181" max="8183" width="17.54296875" style="959" bestFit="1" customWidth="1"/>
    <col min="8184" max="8190" width="21" style="959" bestFit="1" customWidth="1"/>
    <col min="8191" max="8198" width="21.08984375" style="959" bestFit="1" customWidth="1"/>
    <col min="8199" max="8199" width="22.6328125" style="959" customWidth="1"/>
    <col min="8200" max="8200" width="22" style="959" customWidth="1"/>
    <col min="8201" max="8201" width="22.6328125" style="959" customWidth="1"/>
    <col min="8202" max="8207" width="21.08984375" style="959" bestFit="1" customWidth="1"/>
    <col min="8208" max="8208" width="19.54296875" style="959" customWidth="1"/>
    <col min="8209" max="8209" width="21.08984375" style="959" bestFit="1" customWidth="1"/>
    <col min="8210" max="8210" width="22.6328125" style="959" customWidth="1"/>
    <col min="8211" max="8211" width="22" style="959" customWidth="1"/>
    <col min="8212" max="8212" width="23.453125" style="959" bestFit="1" customWidth="1"/>
    <col min="8213" max="8215" width="9.08984375" style="959"/>
    <col min="8216" max="8216" width="11.36328125" style="959" customWidth="1"/>
    <col min="8217" max="8217" width="10.36328125" style="959" customWidth="1"/>
    <col min="8218" max="8425" width="9.08984375" style="959"/>
    <col min="8426" max="8426" width="2.90625" style="959" customWidth="1"/>
    <col min="8427" max="8427" width="13.08984375" style="959" customWidth="1"/>
    <col min="8428" max="8428" width="60.36328125" style="959" customWidth="1"/>
    <col min="8429" max="8433" width="10.90625" style="959" bestFit="1" customWidth="1"/>
    <col min="8434" max="8434" width="11.90625" style="959" bestFit="1" customWidth="1"/>
    <col min="8435" max="8435" width="14.36328125" style="959" bestFit="1" customWidth="1"/>
    <col min="8436" max="8436" width="17.453125" style="959" bestFit="1" customWidth="1"/>
    <col min="8437" max="8439" width="17.54296875" style="959" bestFit="1" customWidth="1"/>
    <col min="8440" max="8446" width="21" style="959" bestFit="1" customWidth="1"/>
    <col min="8447" max="8454" width="21.08984375" style="959" bestFit="1" customWidth="1"/>
    <col min="8455" max="8455" width="22.6328125" style="959" customWidth="1"/>
    <col min="8456" max="8456" width="22" style="959" customWidth="1"/>
    <col min="8457" max="8457" width="22.6328125" style="959" customWidth="1"/>
    <col min="8458" max="8463" width="21.08984375" style="959" bestFit="1" customWidth="1"/>
    <col min="8464" max="8464" width="19.54296875" style="959" customWidth="1"/>
    <col min="8465" max="8465" width="21.08984375" style="959" bestFit="1" customWidth="1"/>
    <col min="8466" max="8466" width="22.6328125" style="959" customWidth="1"/>
    <col min="8467" max="8467" width="22" style="959" customWidth="1"/>
    <col min="8468" max="8468" width="23.453125" style="959" bestFit="1" customWidth="1"/>
    <col min="8469" max="8471" width="9.08984375" style="959"/>
    <col min="8472" max="8472" width="11.36328125" style="959" customWidth="1"/>
    <col min="8473" max="8473" width="10.36328125" style="959" customWidth="1"/>
    <col min="8474" max="8681" width="9.08984375" style="959"/>
    <col min="8682" max="8682" width="2.90625" style="959" customWidth="1"/>
    <col min="8683" max="8683" width="13.08984375" style="959" customWidth="1"/>
    <col min="8684" max="8684" width="60.36328125" style="959" customWidth="1"/>
    <col min="8685" max="8689" width="10.90625" style="959" bestFit="1" customWidth="1"/>
    <col min="8690" max="8690" width="11.90625" style="959" bestFit="1" customWidth="1"/>
    <col min="8691" max="8691" width="14.36328125" style="959" bestFit="1" customWidth="1"/>
    <col min="8692" max="8692" width="17.453125" style="959" bestFit="1" customWidth="1"/>
    <col min="8693" max="8695" width="17.54296875" style="959" bestFit="1" customWidth="1"/>
    <col min="8696" max="8702" width="21" style="959" bestFit="1" customWidth="1"/>
    <col min="8703" max="8710" width="21.08984375" style="959" bestFit="1" customWidth="1"/>
    <col min="8711" max="8711" width="22.6328125" style="959" customWidth="1"/>
    <col min="8712" max="8712" width="22" style="959" customWidth="1"/>
    <col min="8713" max="8713" width="22.6328125" style="959" customWidth="1"/>
    <col min="8714" max="8719" width="21.08984375" style="959" bestFit="1" customWidth="1"/>
    <col min="8720" max="8720" width="19.54296875" style="959" customWidth="1"/>
    <col min="8721" max="8721" width="21.08984375" style="959" bestFit="1" customWidth="1"/>
    <col min="8722" max="8722" width="22.6328125" style="959" customWidth="1"/>
    <col min="8723" max="8723" width="22" style="959" customWidth="1"/>
    <col min="8724" max="8724" width="23.453125" style="959" bestFit="1" customWidth="1"/>
    <col min="8725" max="8727" width="9.08984375" style="959"/>
    <col min="8728" max="8728" width="11.36328125" style="959" customWidth="1"/>
    <col min="8729" max="8729" width="10.36328125" style="959" customWidth="1"/>
    <col min="8730" max="8937" width="9.08984375" style="959"/>
    <col min="8938" max="8938" width="2.90625" style="959" customWidth="1"/>
    <col min="8939" max="8939" width="13.08984375" style="959" customWidth="1"/>
    <col min="8940" max="8940" width="60.36328125" style="959" customWidth="1"/>
    <col min="8941" max="8945" width="10.90625" style="959" bestFit="1" customWidth="1"/>
    <col min="8946" max="8946" width="11.90625" style="959" bestFit="1" customWidth="1"/>
    <col min="8947" max="8947" width="14.36328125" style="959" bestFit="1" customWidth="1"/>
    <col min="8948" max="8948" width="17.453125" style="959" bestFit="1" customWidth="1"/>
    <col min="8949" max="8951" width="17.54296875" style="959" bestFit="1" customWidth="1"/>
    <col min="8952" max="8958" width="21" style="959" bestFit="1" customWidth="1"/>
    <col min="8959" max="8966" width="21.08984375" style="959" bestFit="1" customWidth="1"/>
    <col min="8967" max="8967" width="22.6328125" style="959" customWidth="1"/>
    <col min="8968" max="8968" width="22" style="959" customWidth="1"/>
    <col min="8969" max="8969" width="22.6328125" style="959" customWidth="1"/>
    <col min="8970" max="8975" width="21.08984375" style="959" bestFit="1" customWidth="1"/>
    <col min="8976" max="8976" width="19.54296875" style="959" customWidth="1"/>
    <col min="8977" max="8977" width="21.08984375" style="959" bestFit="1" customWidth="1"/>
    <col min="8978" max="8978" width="22.6328125" style="959" customWidth="1"/>
    <col min="8979" max="8979" width="22" style="959" customWidth="1"/>
    <col min="8980" max="8980" width="23.453125" style="959" bestFit="1" customWidth="1"/>
    <col min="8981" max="8983" width="9.08984375" style="959"/>
    <col min="8984" max="8984" width="11.36328125" style="959" customWidth="1"/>
    <col min="8985" max="8985" width="10.36328125" style="959" customWidth="1"/>
    <col min="8986" max="9193" width="9.08984375" style="959"/>
    <col min="9194" max="9194" width="2.90625" style="959" customWidth="1"/>
    <col min="9195" max="9195" width="13.08984375" style="959" customWidth="1"/>
    <col min="9196" max="9196" width="60.36328125" style="959" customWidth="1"/>
    <col min="9197" max="9201" width="10.90625" style="959" bestFit="1" customWidth="1"/>
    <col min="9202" max="9202" width="11.90625" style="959" bestFit="1" customWidth="1"/>
    <col min="9203" max="9203" width="14.36328125" style="959" bestFit="1" customWidth="1"/>
    <col min="9204" max="9204" width="17.453125" style="959" bestFit="1" customWidth="1"/>
    <col min="9205" max="9207" width="17.54296875" style="959" bestFit="1" customWidth="1"/>
    <col min="9208" max="9214" width="21" style="959" bestFit="1" customWidth="1"/>
    <col min="9215" max="9222" width="21.08984375" style="959" bestFit="1" customWidth="1"/>
    <col min="9223" max="9223" width="22.6328125" style="959" customWidth="1"/>
    <col min="9224" max="9224" width="22" style="959" customWidth="1"/>
    <col min="9225" max="9225" width="22.6328125" style="959" customWidth="1"/>
    <col min="9226" max="9231" width="21.08984375" style="959" bestFit="1" customWidth="1"/>
    <col min="9232" max="9232" width="19.54296875" style="959" customWidth="1"/>
    <col min="9233" max="9233" width="21.08984375" style="959" bestFit="1" customWidth="1"/>
    <col min="9234" max="9234" width="22.6328125" style="959" customWidth="1"/>
    <col min="9235" max="9235" width="22" style="959" customWidth="1"/>
    <col min="9236" max="9236" width="23.453125" style="959" bestFit="1" customWidth="1"/>
    <col min="9237" max="9239" width="9.08984375" style="959"/>
    <col min="9240" max="9240" width="11.36328125" style="959" customWidth="1"/>
    <col min="9241" max="9241" width="10.36328125" style="959" customWidth="1"/>
    <col min="9242" max="9449" width="9.08984375" style="959"/>
    <col min="9450" max="9450" width="2.90625" style="959" customWidth="1"/>
    <col min="9451" max="9451" width="13.08984375" style="959" customWidth="1"/>
    <col min="9452" max="9452" width="60.36328125" style="959" customWidth="1"/>
    <col min="9453" max="9457" width="10.90625" style="959" bestFit="1" customWidth="1"/>
    <col min="9458" max="9458" width="11.90625" style="959" bestFit="1" customWidth="1"/>
    <col min="9459" max="9459" width="14.36328125" style="959" bestFit="1" customWidth="1"/>
    <col min="9460" max="9460" width="17.453125" style="959" bestFit="1" customWidth="1"/>
    <col min="9461" max="9463" width="17.54296875" style="959" bestFit="1" customWidth="1"/>
    <col min="9464" max="9470" width="21" style="959" bestFit="1" customWidth="1"/>
    <col min="9471" max="9478" width="21.08984375" style="959" bestFit="1" customWidth="1"/>
    <col min="9479" max="9479" width="22.6328125" style="959" customWidth="1"/>
    <col min="9480" max="9480" width="22" style="959" customWidth="1"/>
    <col min="9481" max="9481" width="22.6328125" style="959" customWidth="1"/>
    <col min="9482" max="9487" width="21.08984375" style="959" bestFit="1" customWidth="1"/>
    <col min="9488" max="9488" width="19.54296875" style="959" customWidth="1"/>
    <col min="9489" max="9489" width="21.08984375" style="959" bestFit="1" customWidth="1"/>
    <col min="9490" max="9490" width="22.6328125" style="959" customWidth="1"/>
    <col min="9491" max="9491" width="22" style="959" customWidth="1"/>
    <col min="9492" max="9492" width="23.453125" style="959" bestFit="1" customWidth="1"/>
    <col min="9493" max="9495" width="9.08984375" style="959"/>
    <col min="9496" max="9496" width="11.36328125" style="959" customWidth="1"/>
    <col min="9497" max="9497" width="10.36328125" style="959" customWidth="1"/>
    <col min="9498" max="9705" width="9.08984375" style="959"/>
    <col min="9706" max="9706" width="2.90625" style="959" customWidth="1"/>
    <col min="9707" max="9707" width="13.08984375" style="959" customWidth="1"/>
    <col min="9708" max="9708" width="60.36328125" style="959" customWidth="1"/>
    <col min="9709" max="9713" width="10.90625" style="959" bestFit="1" customWidth="1"/>
    <col min="9714" max="9714" width="11.90625" style="959" bestFit="1" customWidth="1"/>
    <col min="9715" max="9715" width="14.36328125" style="959" bestFit="1" customWidth="1"/>
    <col min="9716" max="9716" width="17.453125" style="959" bestFit="1" customWidth="1"/>
    <col min="9717" max="9719" width="17.54296875" style="959" bestFit="1" customWidth="1"/>
    <col min="9720" max="9726" width="21" style="959" bestFit="1" customWidth="1"/>
    <col min="9727" max="9734" width="21.08984375" style="959" bestFit="1" customWidth="1"/>
    <col min="9735" max="9735" width="22.6328125" style="959" customWidth="1"/>
    <col min="9736" max="9736" width="22" style="959" customWidth="1"/>
    <col min="9737" max="9737" width="22.6328125" style="959" customWidth="1"/>
    <col min="9738" max="9743" width="21.08984375" style="959" bestFit="1" customWidth="1"/>
    <col min="9744" max="9744" width="19.54296875" style="959" customWidth="1"/>
    <col min="9745" max="9745" width="21.08984375" style="959" bestFit="1" customWidth="1"/>
    <col min="9746" max="9746" width="22.6328125" style="959" customWidth="1"/>
    <col min="9747" max="9747" width="22" style="959" customWidth="1"/>
    <col min="9748" max="9748" width="23.453125" style="959" bestFit="1" customWidth="1"/>
    <col min="9749" max="9751" width="9.08984375" style="959"/>
    <col min="9752" max="9752" width="11.36328125" style="959" customWidth="1"/>
    <col min="9753" max="9753" width="10.36328125" style="959" customWidth="1"/>
    <col min="9754" max="9961" width="9.08984375" style="959"/>
    <col min="9962" max="9962" width="2.90625" style="959" customWidth="1"/>
    <col min="9963" max="9963" width="13.08984375" style="959" customWidth="1"/>
    <col min="9964" max="9964" width="60.36328125" style="959" customWidth="1"/>
    <col min="9965" max="9969" width="10.90625" style="959" bestFit="1" customWidth="1"/>
    <col min="9970" max="9970" width="11.90625" style="959" bestFit="1" customWidth="1"/>
    <col min="9971" max="9971" width="14.36328125" style="959" bestFit="1" customWidth="1"/>
    <col min="9972" max="9972" width="17.453125" style="959" bestFit="1" customWidth="1"/>
    <col min="9973" max="9975" width="17.54296875" style="959" bestFit="1" customWidth="1"/>
    <col min="9976" max="9982" width="21" style="959" bestFit="1" customWidth="1"/>
    <col min="9983" max="9990" width="21.08984375" style="959" bestFit="1" customWidth="1"/>
    <col min="9991" max="9991" width="22.6328125" style="959" customWidth="1"/>
    <col min="9992" max="9992" width="22" style="959" customWidth="1"/>
    <col min="9993" max="9993" width="22.6328125" style="959" customWidth="1"/>
    <col min="9994" max="9999" width="21.08984375" style="959" bestFit="1" customWidth="1"/>
    <col min="10000" max="10000" width="19.54296875" style="959" customWidth="1"/>
    <col min="10001" max="10001" width="21.08984375" style="959" bestFit="1" customWidth="1"/>
    <col min="10002" max="10002" width="22.6328125" style="959" customWidth="1"/>
    <col min="10003" max="10003" width="22" style="959" customWidth="1"/>
    <col min="10004" max="10004" width="23.453125" style="959" bestFit="1" customWidth="1"/>
    <col min="10005" max="10007" width="9.08984375" style="959"/>
    <col min="10008" max="10008" width="11.36328125" style="959" customWidth="1"/>
    <col min="10009" max="10009" width="10.36328125" style="959" customWidth="1"/>
    <col min="10010" max="10217" width="9.08984375" style="959"/>
    <col min="10218" max="10218" width="2.90625" style="959" customWidth="1"/>
    <col min="10219" max="10219" width="13.08984375" style="959" customWidth="1"/>
    <col min="10220" max="10220" width="60.36328125" style="959" customWidth="1"/>
    <col min="10221" max="10225" width="10.90625" style="959" bestFit="1" customWidth="1"/>
    <col min="10226" max="10226" width="11.90625" style="959" bestFit="1" customWidth="1"/>
    <col min="10227" max="10227" width="14.36328125" style="959" bestFit="1" customWidth="1"/>
    <col min="10228" max="10228" width="17.453125" style="959" bestFit="1" customWidth="1"/>
    <col min="10229" max="10231" width="17.54296875" style="959" bestFit="1" customWidth="1"/>
    <col min="10232" max="10238" width="21" style="959" bestFit="1" customWidth="1"/>
    <col min="10239" max="10246" width="21.08984375" style="959" bestFit="1" customWidth="1"/>
    <col min="10247" max="10247" width="22.6328125" style="959" customWidth="1"/>
    <col min="10248" max="10248" width="22" style="959" customWidth="1"/>
    <col min="10249" max="10249" width="22.6328125" style="959" customWidth="1"/>
    <col min="10250" max="10255" width="21.08984375" style="959" bestFit="1" customWidth="1"/>
    <col min="10256" max="10256" width="19.54296875" style="959" customWidth="1"/>
    <col min="10257" max="10257" width="21.08984375" style="959" bestFit="1" customWidth="1"/>
    <col min="10258" max="10258" width="22.6328125" style="959" customWidth="1"/>
    <col min="10259" max="10259" width="22" style="959" customWidth="1"/>
    <col min="10260" max="10260" width="23.453125" style="959" bestFit="1" customWidth="1"/>
    <col min="10261" max="10263" width="9.08984375" style="959"/>
    <col min="10264" max="10264" width="11.36328125" style="959" customWidth="1"/>
    <col min="10265" max="10265" width="10.36328125" style="959" customWidth="1"/>
    <col min="10266" max="10473" width="9.08984375" style="959"/>
    <col min="10474" max="10474" width="2.90625" style="959" customWidth="1"/>
    <col min="10475" max="10475" width="13.08984375" style="959" customWidth="1"/>
    <col min="10476" max="10476" width="60.36328125" style="959" customWidth="1"/>
    <col min="10477" max="10481" width="10.90625" style="959" bestFit="1" customWidth="1"/>
    <col min="10482" max="10482" width="11.90625" style="959" bestFit="1" customWidth="1"/>
    <col min="10483" max="10483" width="14.36328125" style="959" bestFit="1" customWidth="1"/>
    <col min="10484" max="10484" width="17.453125" style="959" bestFit="1" customWidth="1"/>
    <col min="10485" max="10487" width="17.54296875" style="959" bestFit="1" customWidth="1"/>
    <col min="10488" max="10494" width="21" style="959" bestFit="1" customWidth="1"/>
    <col min="10495" max="10502" width="21.08984375" style="959" bestFit="1" customWidth="1"/>
    <col min="10503" max="10503" width="22.6328125" style="959" customWidth="1"/>
    <col min="10504" max="10504" width="22" style="959" customWidth="1"/>
    <col min="10505" max="10505" width="22.6328125" style="959" customWidth="1"/>
    <col min="10506" max="10511" width="21.08984375" style="959" bestFit="1" customWidth="1"/>
    <col min="10512" max="10512" width="19.54296875" style="959" customWidth="1"/>
    <col min="10513" max="10513" width="21.08984375" style="959" bestFit="1" customWidth="1"/>
    <col min="10514" max="10514" width="22.6328125" style="959" customWidth="1"/>
    <col min="10515" max="10515" width="22" style="959" customWidth="1"/>
    <col min="10516" max="10516" width="23.453125" style="959" bestFit="1" customWidth="1"/>
    <col min="10517" max="10519" width="9.08984375" style="959"/>
    <col min="10520" max="10520" width="11.36328125" style="959" customWidth="1"/>
    <col min="10521" max="10521" width="10.36328125" style="959" customWidth="1"/>
    <col min="10522" max="10729" width="9.08984375" style="959"/>
    <col min="10730" max="10730" width="2.90625" style="959" customWidth="1"/>
    <col min="10731" max="10731" width="13.08984375" style="959" customWidth="1"/>
    <col min="10732" max="10732" width="60.36328125" style="959" customWidth="1"/>
    <col min="10733" max="10737" width="10.90625" style="959" bestFit="1" customWidth="1"/>
    <col min="10738" max="10738" width="11.90625" style="959" bestFit="1" customWidth="1"/>
    <col min="10739" max="10739" width="14.36328125" style="959" bestFit="1" customWidth="1"/>
    <col min="10740" max="10740" width="17.453125" style="959" bestFit="1" customWidth="1"/>
    <col min="10741" max="10743" width="17.54296875" style="959" bestFit="1" customWidth="1"/>
    <col min="10744" max="10750" width="21" style="959" bestFit="1" customWidth="1"/>
    <col min="10751" max="10758" width="21.08984375" style="959" bestFit="1" customWidth="1"/>
    <col min="10759" max="10759" width="22.6328125" style="959" customWidth="1"/>
    <col min="10760" max="10760" width="22" style="959" customWidth="1"/>
    <col min="10761" max="10761" width="22.6328125" style="959" customWidth="1"/>
    <col min="10762" max="10767" width="21.08984375" style="959" bestFit="1" customWidth="1"/>
    <col min="10768" max="10768" width="19.54296875" style="959" customWidth="1"/>
    <col min="10769" max="10769" width="21.08984375" style="959" bestFit="1" customWidth="1"/>
    <col min="10770" max="10770" width="22.6328125" style="959" customWidth="1"/>
    <col min="10771" max="10771" width="22" style="959" customWidth="1"/>
    <col min="10772" max="10772" width="23.453125" style="959" bestFit="1" customWidth="1"/>
    <col min="10773" max="10775" width="9.08984375" style="959"/>
    <col min="10776" max="10776" width="11.36328125" style="959" customWidth="1"/>
    <col min="10777" max="10777" width="10.36328125" style="959" customWidth="1"/>
    <col min="10778" max="10985" width="9.08984375" style="959"/>
    <col min="10986" max="10986" width="2.90625" style="959" customWidth="1"/>
    <col min="10987" max="10987" width="13.08984375" style="959" customWidth="1"/>
    <col min="10988" max="10988" width="60.36328125" style="959" customWidth="1"/>
    <col min="10989" max="10993" width="10.90625" style="959" bestFit="1" customWidth="1"/>
    <col min="10994" max="10994" width="11.90625" style="959" bestFit="1" customWidth="1"/>
    <col min="10995" max="10995" width="14.36328125" style="959" bestFit="1" customWidth="1"/>
    <col min="10996" max="10996" width="17.453125" style="959" bestFit="1" customWidth="1"/>
    <col min="10997" max="10999" width="17.54296875" style="959" bestFit="1" customWidth="1"/>
    <col min="11000" max="11006" width="21" style="959" bestFit="1" customWidth="1"/>
    <col min="11007" max="11014" width="21.08984375" style="959" bestFit="1" customWidth="1"/>
    <col min="11015" max="11015" width="22.6328125" style="959" customWidth="1"/>
    <col min="11016" max="11016" width="22" style="959" customWidth="1"/>
    <col min="11017" max="11017" width="22.6328125" style="959" customWidth="1"/>
    <col min="11018" max="11023" width="21.08984375" style="959" bestFit="1" customWidth="1"/>
    <col min="11024" max="11024" width="19.54296875" style="959" customWidth="1"/>
    <col min="11025" max="11025" width="21.08984375" style="959" bestFit="1" customWidth="1"/>
    <col min="11026" max="11026" width="22.6328125" style="959" customWidth="1"/>
    <col min="11027" max="11027" width="22" style="959" customWidth="1"/>
    <col min="11028" max="11028" width="23.453125" style="959" bestFit="1" customWidth="1"/>
    <col min="11029" max="11031" width="9.08984375" style="959"/>
    <col min="11032" max="11032" width="11.36328125" style="959" customWidth="1"/>
    <col min="11033" max="11033" width="10.36328125" style="959" customWidth="1"/>
    <col min="11034" max="11241" width="9.08984375" style="959"/>
    <col min="11242" max="11242" width="2.90625" style="959" customWidth="1"/>
    <col min="11243" max="11243" width="13.08984375" style="959" customWidth="1"/>
    <col min="11244" max="11244" width="60.36328125" style="959" customWidth="1"/>
    <col min="11245" max="11249" width="10.90625" style="959" bestFit="1" customWidth="1"/>
    <col min="11250" max="11250" width="11.90625" style="959" bestFit="1" customWidth="1"/>
    <col min="11251" max="11251" width="14.36328125" style="959" bestFit="1" customWidth="1"/>
    <col min="11252" max="11252" width="17.453125" style="959" bestFit="1" customWidth="1"/>
    <col min="11253" max="11255" width="17.54296875" style="959" bestFit="1" customWidth="1"/>
    <col min="11256" max="11262" width="21" style="959" bestFit="1" customWidth="1"/>
    <col min="11263" max="11270" width="21.08984375" style="959" bestFit="1" customWidth="1"/>
    <col min="11271" max="11271" width="22.6328125" style="959" customWidth="1"/>
    <col min="11272" max="11272" width="22" style="959" customWidth="1"/>
    <col min="11273" max="11273" width="22.6328125" style="959" customWidth="1"/>
    <col min="11274" max="11279" width="21.08984375" style="959" bestFit="1" customWidth="1"/>
    <col min="11280" max="11280" width="19.54296875" style="959" customWidth="1"/>
    <col min="11281" max="11281" width="21.08984375" style="959" bestFit="1" customWidth="1"/>
    <col min="11282" max="11282" width="22.6328125" style="959" customWidth="1"/>
    <col min="11283" max="11283" width="22" style="959" customWidth="1"/>
    <col min="11284" max="11284" width="23.453125" style="959" bestFit="1" customWidth="1"/>
    <col min="11285" max="11287" width="9.08984375" style="959"/>
    <col min="11288" max="11288" width="11.36328125" style="959" customWidth="1"/>
    <col min="11289" max="11289" width="10.36328125" style="959" customWidth="1"/>
    <col min="11290" max="11497" width="9.08984375" style="959"/>
    <col min="11498" max="11498" width="2.90625" style="959" customWidth="1"/>
    <col min="11499" max="11499" width="13.08984375" style="959" customWidth="1"/>
    <col min="11500" max="11500" width="60.36328125" style="959" customWidth="1"/>
    <col min="11501" max="11505" width="10.90625" style="959" bestFit="1" customWidth="1"/>
    <col min="11506" max="11506" width="11.90625" style="959" bestFit="1" customWidth="1"/>
    <col min="11507" max="11507" width="14.36328125" style="959" bestFit="1" customWidth="1"/>
    <col min="11508" max="11508" width="17.453125" style="959" bestFit="1" customWidth="1"/>
    <col min="11509" max="11511" width="17.54296875" style="959" bestFit="1" customWidth="1"/>
    <col min="11512" max="11518" width="21" style="959" bestFit="1" customWidth="1"/>
    <col min="11519" max="11526" width="21.08984375" style="959" bestFit="1" customWidth="1"/>
    <col min="11527" max="11527" width="22.6328125" style="959" customWidth="1"/>
    <col min="11528" max="11528" width="22" style="959" customWidth="1"/>
    <col min="11529" max="11529" width="22.6328125" style="959" customWidth="1"/>
    <col min="11530" max="11535" width="21.08984375" style="959" bestFit="1" customWidth="1"/>
    <col min="11536" max="11536" width="19.54296875" style="959" customWidth="1"/>
    <col min="11537" max="11537" width="21.08984375" style="959" bestFit="1" customWidth="1"/>
    <col min="11538" max="11538" width="22.6328125" style="959" customWidth="1"/>
    <col min="11539" max="11539" width="22" style="959" customWidth="1"/>
    <col min="11540" max="11540" width="23.453125" style="959" bestFit="1" customWidth="1"/>
    <col min="11541" max="11543" width="9.08984375" style="959"/>
    <col min="11544" max="11544" width="11.36328125" style="959" customWidth="1"/>
    <col min="11545" max="11545" width="10.36328125" style="959" customWidth="1"/>
    <col min="11546" max="11753" width="9.08984375" style="959"/>
    <col min="11754" max="11754" width="2.90625" style="959" customWidth="1"/>
    <col min="11755" max="11755" width="13.08984375" style="959" customWidth="1"/>
    <col min="11756" max="11756" width="60.36328125" style="959" customWidth="1"/>
    <col min="11757" max="11761" width="10.90625" style="959" bestFit="1" customWidth="1"/>
    <col min="11762" max="11762" width="11.90625" style="959" bestFit="1" customWidth="1"/>
    <col min="11763" max="11763" width="14.36328125" style="959" bestFit="1" customWidth="1"/>
    <col min="11764" max="11764" width="17.453125" style="959" bestFit="1" customWidth="1"/>
    <col min="11765" max="11767" width="17.54296875" style="959" bestFit="1" customWidth="1"/>
    <col min="11768" max="11774" width="21" style="959" bestFit="1" customWidth="1"/>
    <col min="11775" max="11782" width="21.08984375" style="959" bestFit="1" customWidth="1"/>
    <col min="11783" max="11783" width="22.6328125" style="959" customWidth="1"/>
    <col min="11784" max="11784" width="22" style="959" customWidth="1"/>
    <col min="11785" max="11785" width="22.6328125" style="959" customWidth="1"/>
    <col min="11786" max="11791" width="21.08984375" style="959" bestFit="1" customWidth="1"/>
    <col min="11792" max="11792" width="19.54296875" style="959" customWidth="1"/>
    <col min="11793" max="11793" width="21.08984375" style="959" bestFit="1" customWidth="1"/>
    <col min="11794" max="11794" width="22.6328125" style="959" customWidth="1"/>
    <col min="11795" max="11795" width="22" style="959" customWidth="1"/>
    <col min="11796" max="11796" width="23.453125" style="959" bestFit="1" customWidth="1"/>
    <col min="11797" max="11799" width="9.08984375" style="959"/>
    <col min="11800" max="11800" width="11.36328125" style="959" customWidth="1"/>
    <col min="11801" max="11801" width="10.36328125" style="959" customWidth="1"/>
    <col min="11802" max="12009" width="9.08984375" style="959"/>
    <col min="12010" max="12010" width="2.90625" style="959" customWidth="1"/>
    <col min="12011" max="12011" width="13.08984375" style="959" customWidth="1"/>
    <col min="12012" max="12012" width="60.36328125" style="959" customWidth="1"/>
    <col min="12013" max="12017" width="10.90625" style="959" bestFit="1" customWidth="1"/>
    <col min="12018" max="12018" width="11.90625" style="959" bestFit="1" customWidth="1"/>
    <col min="12019" max="12019" width="14.36328125" style="959" bestFit="1" customWidth="1"/>
    <col min="12020" max="12020" width="17.453125" style="959" bestFit="1" customWidth="1"/>
    <col min="12021" max="12023" width="17.54296875" style="959" bestFit="1" customWidth="1"/>
    <col min="12024" max="12030" width="21" style="959" bestFit="1" customWidth="1"/>
    <col min="12031" max="12038" width="21.08984375" style="959" bestFit="1" customWidth="1"/>
    <col min="12039" max="12039" width="22.6328125" style="959" customWidth="1"/>
    <col min="12040" max="12040" width="22" style="959" customWidth="1"/>
    <col min="12041" max="12041" width="22.6328125" style="959" customWidth="1"/>
    <col min="12042" max="12047" width="21.08984375" style="959" bestFit="1" customWidth="1"/>
    <col min="12048" max="12048" width="19.54296875" style="959" customWidth="1"/>
    <col min="12049" max="12049" width="21.08984375" style="959" bestFit="1" customWidth="1"/>
    <col min="12050" max="12050" width="22.6328125" style="959" customWidth="1"/>
    <col min="12051" max="12051" width="22" style="959" customWidth="1"/>
    <col min="12052" max="12052" width="23.453125" style="959" bestFit="1" customWidth="1"/>
    <col min="12053" max="12055" width="9.08984375" style="959"/>
    <col min="12056" max="12056" width="11.36328125" style="959" customWidth="1"/>
    <col min="12057" max="12057" width="10.36328125" style="959" customWidth="1"/>
    <col min="12058" max="12265" width="9.08984375" style="959"/>
    <col min="12266" max="12266" width="2.90625" style="959" customWidth="1"/>
    <col min="12267" max="12267" width="13.08984375" style="959" customWidth="1"/>
    <col min="12268" max="12268" width="60.36328125" style="959" customWidth="1"/>
    <col min="12269" max="12273" width="10.90625" style="959" bestFit="1" customWidth="1"/>
    <col min="12274" max="12274" width="11.90625" style="959" bestFit="1" customWidth="1"/>
    <col min="12275" max="12275" width="14.36328125" style="959" bestFit="1" customWidth="1"/>
    <col min="12276" max="12276" width="17.453125" style="959" bestFit="1" customWidth="1"/>
    <col min="12277" max="12279" width="17.54296875" style="959" bestFit="1" customWidth="1"/>
    <col min="12280" max="12286" width="21" style="959" bestFit="1" customWidth="1"/>
    <col min="12287" max="12294" width="21.08984375" style="959" bestFit="1" customWidth="1"/>
    <col min="12295" max="12295" width="22.6328125" style="959" customWidth="1"/>
    <col min="12296" max="12296" width="22" style="959" customWidth="1"/>
    <col min="12297" max="12297" width="22.6328125" style="959" customWidth="1"/>
    <col min="12298" max="12303" width="21.08984375" style="959" bestFit="1" customWidth="1"/>
    <col min="12304" max="12304" width="19.54296875" style="959" customWidth="1"/>
    <col min="12305" max="12305" width="21.08984375" style="959" bestFit="1" customWidth="1"/>
    <col min="12306" max="12306" width="22.6328125" style="959" customWidth="1"/>
    <col min="12307" max="12307" width="22" style="959" customWidth="1"/>
    <col min="12308" max="12308" width="23.453125" style="959" bestFit="1" customWidth="1"/>
    <col min="12309" max="12311" width="9.08984375" style="959"/>
    <col min="12312" max="12312" width="11.36328125" style="959" customWidth="1"/>
    <col min="12313" max="12313" width="10.36328125" style="959" customWidth="1"/>
    <col min="12314" max="12521" width="9.08984375" style="959"/>
    <col min="12522" max="12522" width="2.90625" style="959" customWidth="1"/>
    <col min="12523" max="12523" width="13.08984375" style="959" customWidth="1"/>
    <col min="12524" max="12524" width="60.36328125" style="959" customWidth="1"/>
    <col min="12525" max="12529" width="10.90625" style="959" bestFit="1" customWidth="1"/>
    <col min="12530" max="12530" width="11.90625" style="959" bestFit="1" customWidth="1"/>
    <col min="12531" max="12531" width="14.36328125" style="959" bestFit="1" customWidth="1"/>
    <col min="12532" max="12532" width="17.453125" style="959" bestFit="1" customWidth="1"/>
    <col min="12533" max="12535" width="17.54296875" style="959" bestFit="1" customWidth="1"/>
    <col min="12536" max="12542" width="21" style="959" bestFit="1" customWidth="1"/>
    <col min="12543" max="12550" width="21.08984375" style="959" bestFit="1" customWidth="1"/>
    <col min="12551" max="12551" width="22.6328125" style="959" customWidth="1"/>
    <col min="12552" max="12552" width="22" style="959" customWidth="1"/>
    <col min="12553" max="12553" width="22.6328125" style="959" customWidth="1"/>
    <col min="12554" max="12559" width="21.08984375" style="959" bestFit="1" customWidth="1"/>
    <col min="12560" max="12560" width="19.54296875" style="959" customWidth="1"/>
    <col min="12561" max="12561" width="21.08984375" style="959" bestFit="1" customWidth="1"/>
    <col min="12562" max="12562" width="22.6328125" style="959" customWidth="1"/>
    <col min="12563" max="12563" width="22" style="959" customWidth="1"/>
    <col min="12564" max="12564" width="23.453125" style="959" bestFit="1" customWidth="1"/>
    <col min="12565" max="12567" width="9.08984375" style="959"/>
    <col min="12568" max="12568" width="11.36328125" style="959" customWidth="1"/>
    <col min="12569" max="12569" width="10.36328125" style="959" customWidth="1"/>
    <col min="12570" max="12777" width="9.08984375" style="959"/>
    <col min="12778" max="12778" width="2.90625" style="959" customWidth="1"/>
    <col min="12779" max="12779" width="13.08984375" style="959" customWidth="1"/>
    <col min="12780" max="12780" width="60.36328125" style="959" customWidth="1"/>
    <col min="12781" max="12785" width="10.90625" style="959" bestFit="1" customWidth="1"/>
    <col min="12786" max="12786" width="11.90625" style="959" bestFit="1" customWidth="1"/>
    <col min="12787" max="12787" width="14.36328125" style="959" bestFit="1" customWidth="1"/>
    <col min="12788" max="12788" width="17.453125" style="959" bestFit="1" customWidth="1"/>
    <col min="12789" max="12791" width="17.54296875" style="959" bestFit="1" customWidth="1"/>
    <col min="12792" max="12798" width="21" style="959" bestFit="1" customWidth="1"/>
    <col min="12799" max="12806" width="21.08984375" style="959" bestFit="1" customWidth="1"/>
    <col min="12807" max="12807" width="22.6328125" style="959" customWidth="1"/>
    <col min="12808" max="12808" width="22" style="959" customWidth="1"/>
    <col min="12809" max="12809" width="22.6328125" style="959" customWidth="1"/>
    <col min="12810" max="12815" width="21.08984375" style="959" bestFit="1" customWidth="1"/>
    <col min="12816" max="12816" width="19.54296875" style="959" customWidth="1"/>
    <col min="12817" max="12817" width="21.08984375" style="959" bestFit="1" customWidth="1"/>
    <col min="12818" max="12818" width="22.6328125" style="959" customWidth="1"/>
    <col min="12819" max="12819" width="22" style="959" customWidth="1"/>
    <col min="12820" max="12820" width="23.453125" style="959" bestFit="1" customWidth="1"/>
    <col min="12821" max="12823" width="9.08984375" style="959"/>
    <col min="12824" max="12824" width="11.36328125" style="959" customWidth="1"/>
    <col min="12825" max="12825" width="10.36328125" style="959" customWidth="1"/>
    <col min="12826" max="13033" width="9.08984375" style="959"/>
    <col min="13034" max="13034" width="2.90625" style="959" customWidth="1"/>
    <col min="13035" max="13035" width="13.08984375" style="959" customWidth="1"/>
    <col min="13036" max="13036" width="60.36328125" style="959" customWidth="1"/>
    <col min="13037" max="13041" width="10.90625" style="959" bestFit="1" customWidth="1"/>
    <col min="13042" max="13042" width="11.90625" style="959" bestFit="1" customWidth="1"/>
    <col min="13043" max="13043" width="14.36328125" style="959" bestFit="1" customWidth="1"/>
    <col min="13044" max="13044" width="17.453125" style="959" bestFit="1" customWidth="1"/>
    <col min="13045" max="13047" width="17.54296875" style="959" bestFit="1" customWidth="1"/>
    <col min="13048" max="13054" width="21" style="959" bestFit="1" customWidth="1"/>
    <col min="13055" max="13062" width="21.08984375" style="959" bestFit="1" customWidth="1"/>
    <col min="13063" max="13063" width="22.6328125" style="959" customWidth="1"/>
    <col min="13064" max="13064" width="22" style="959" customWidth="1"/>
    <col min="13065" max="13065" width="22.6328125" style="959" customWidth="1"/>
    <col min="13066" max="13071" width="21.08984375" style="959" bestFit="1" customWidth="1"/>
    <col min="13072" max="13072" width="19.54296875" style="959" customWidth="1"/>
    <col min="13073" max="13073" width="21.08984375" style="959" bestFit="1" customWidth="1"/>
    <col min="13074" max="13074" width="22.6328125" style="959" customWidth="1"/>
    <col min="13075" max="13075" width="22" style="959" customWidth="1"/>
    <col min="13076" max="13076" width="23.453125" style="959" bestFit="1" customWidth="1"/>
    <col min="13077" max="13079" width="9.08984375" style="959"/>
    <col min="13080" max="13080" width="11.36328125" style="959" customWidth="1"/>
    <col min="13081" max="13081" width="10.36328125" style="959" customWidth="1"/>
    <col min="13082" max="13289" width="9.08984375" style="959"/>
    <col min="13290" max="13290" width="2.90625" style="959" customWidth="1"/>
    <col min="13291" max="13291" width="13.08984375" style="959" customWidth="1"/>
    <col min="13292" max="13292" width="60.36328125" style="959" customWidth="1"/>
    <col min="13293" max="13297" width="10.90625" style="959" bestFit="1" customWidth="1"/>
    <col min="13298" max="13298" width="11.90625" style="959" bestFit="1" customWidth="1"/>
    <col min="13299" max="13299" width="14.36328125" style="959" bestFit="1" customWidth="1"/>
    <col min="13300" max="13300" width="17.453125" style="959" bestFit="1" customWidth="1"/>
    <col min="13301" max="13303" width="17.54296875" style="959" bestFit="1" customWidth="1"/>
    <col min="13304" max="13310" width="21" style="959" bestFit="1" customWidth="1"/>
    <col min="13311" max="13318" width="21.08984375" style="959" bestFit="1" customWidth="1"/>
    <col min="13319" max="13319" width="22.6328125" style="959" customWidth="1"/>
    <col min="13320" max="13320" width="22" style="959" customWidth="1"/>
    <col min="13321" max="13321" width="22.6328125" style="959" customWidth="1"/>
    <col min="13322" max="13327" width="21.08984375" style="959" bestFit="1" customWidth="1"/>
    <col min="13328" max="13328" width="19.54296875" style="959" customWidth="1"/>
    <col min="13329" max="13329" width="21.08984375" style="959" bestFit="1" customWidth="1"/>
    <col min="13330" max="13330" width="22.6328125" style="959" customWidth="1"/>
    <col min="13331" max="13331" width="22" style="959" customWidth="1"/>
    <col min="13332" max="13332" width="23.453125" style="959" bestFit="1" customWidth="1"/>
    <col min="13333" max="13335" width="9.08984375" style="959"/>
    <col min="13336" max="13336" width="11.36328125" style="959" customWidth="1"/>
    <col min="13337" max="13337" width="10.36328125" style="959" customWidth="1"/>
    <col min="13338" max="13545" width="9.08984375" style="959"/>
    <col min="13546" max="13546" width="2.90625" style="959" customWidth="1"/>
    <col min="13547" max="13547" width="13.08984375" style="959" customWidth="1"/>
    <col min="13548" max="13548" width="60.36328125" style="959" customWidth="1"/>
    <col min="13549" max="13553" width="10.90625" style="959" bestFit="1" customWidth="1"/>
    <col min="13554" max="13554" width="11.90625" style="959" bestFit="1" customWidth="1"/>
    <col min="13555" max="13555" width="14.36328125" style="959" bestFit="1" customWidth="1"/>
    <col min="13556" max="13556" width="17.453125" style="959" bestFit="1" customWidth="1"/>
    <col min="13557" max="13559" width="17.54296875" style="959" bestFit="1" customWidth="1"/>
    <col min="13560" max="13566" width="21" style="959" bestFit="1" customWidth="1"/>
    <col min="13567" max="13574" width="21.08984375" style="959" bestFit="1" customWidth="1"/>
    <col min="13575" max="13575" width="22.6328125" style="959" customWidth="1"/>
    <col min="13576" max="13576" width="22" style="959" customWidth="1"/>
    <col min="13577" max="13577" width="22.6328125" style="959" customWidth="1"/>
    <col min="13578" max="13583" width="21.08984375" style="959" bestFit="1" customWidth="1"/>
    <col min="13584" max="13584" width="19.54296875" style="959" customWidth="1"/>
    <col min="13585" max="13585" width="21.08984375" style="959" bestFit="1" customWidth="1"/>
    <col min="13586" max="13586" width="22.6328125" style="959" customWidth="1"/>
    <col min="13587" max="13587" width="22" style="959" customWidth="1"/>
    <col min="13588" max="13588" width="23.453125" style="959" bestFit="1" customWidth="1"/>
    <col min="13589" max="13591" width="9.08984375" style="959"/>
    <col min="13592" max="13592" width="11.36328125" style="959" customWidth="1"/>
    <col min="13593" max="13593" width="10.36328125" style="959" customWidth="1"/>
    <col min="13594" max="13801" width="9.08984375" style="959"/>
    <col min="13802" max="13802" width="2.90625" style="959" customWidth="1"/>
    <col min="13803" max="13803" width="13.08984375" style="959" customWidth="1"/>
    <col min="13804" max="13804" width="60.36328125" style="959" customWidth="1"/>
    <col min="13805" max="13809" width="10.90625" style="959" bestFit="1" customWidth="1"/>
    <col min="13810" max="13810" width="11.90625" style="959" bestFit="1" customWidth="1"/>
    <col min="13811" max="13811" width="14.36328125" style="959" bestFit="1" customWidth="1"/>
    <col min="13812" max="13812" width="17.453125" style="959" bestFit="1" customWidth="1"/>
    <col min="13813" max="13815" width="17.54296875" style="959" bestFit="1" customWidth="1"/>
    <col min="13816" max="13822" width="21" style="959" bestFit="1" customWidth="1"/>
    <col min="13823" max="13830" width="21.08984375" style="959" bestFit="1" customWidth="1"/>
    <col min="13831" max="13831" width="22.6328125" style="959" customWidth="1"/>
    <col min="13832" max="13832" width="22" style="959" customWidth="1"/>
    <col min="13833" max="13833" width="22.6328125" style="959" customWidth="1"/>
    <col min="13834" max="13839" width="21.08984375" style="959" bestFit="1" customWidth="1"/>
    <col min="13840" max="13840" width="19.54296875" style="959" customWidth="1"/>
    <col min="13841" max="13841" width="21.08984375" style="959" bestFit="1" customWidth="1"/>
    <col min="13842" max="13842" width="22.6328125" style="959" customWidth="1"/>
    <col min="13843" max="13843" width="22" style="959" customWidth="1"/>
    <col min="13844" max="13844" width="23.453125" style="959" bestFit="1" customWidth="1"/>
    <col min="13845" max="13847" width="9.08984375" style="959"/>
    <col min="13848" max="13848" width="11.36328125" style="959" customWidth="1"/>
    <col min="13849" max="13849" width="10.36328125" style="959" customWidth="1"/>
    <col min="13850" max="14057" width="9.08984375" style="959"/>
    <col min="14058" max="14058" width="2.90625" style="959" customWidth="1"/>
    <col min="14059" max="14059" width="13.08984375" style="959" customWidth="1"/>
    <col min="14060" max="14060" width="60.36328125" style="959" customWidth="1"/>
    <col min="14061" max="14065" width="10.90625" style="959" bestFit="1" customWidth="1"/>
    <col min="14066" max="14066" width="11.90625" style="959" bestFit="1" customWidth="1"/>
    <col min="14067" max="14067" width="14.36328125" style="959" bestFit="1" customWidth="1"/>
    <col min="14068" max="14068" width="17.453125" style="959" bestFit="1" customWidth="1"/>
    <col min="14069" max="14071" width="17.54296875" style="959" bestFit="1" customWidth="1"/>
    <col min="14072" max="14078" width="21" style="959" bestFit="1" customWidth="1"/>
    <col min="14079" max="14086" width="21.08984375" style="959" bestFit="1" customWidth="1"/>
    <col min="14087" max="14087" width="22.6328125" style="959" customWidth="1"/>
    <col min="14088" max="14088" width="22" style="959" customWidth="1"/>
    <col min="14089" max="14089" width="22.6328125" style="959" customWidth="1"/>
    <col min="14090" max="14095" width="21.08984375" style="959" bestFit="1" customWidth="1"/>
    <col min="14096" max="14096" width="19.54296875" style="959" customWidth="1"/>
    <col min="14097" max="14097" width="21.08984375" style="959" bestFit="1" customWidth="1"/>
    <col min="14098" max="14098" width="22.6328125" style="959" customWidth="1"/>
    <col min="14099" max="14099" width="22" style="959" customWidth="1"/>
    <col min="14100" max="14100" width="23.453125" style="959" bestFit="1" customWidth="1"/>
    <col min="14101" max="14103" width="9.08984375" style="959"/>
    <col min="14104" max="14104" width="11.36328125" style="959" customWidth="1"/>
    <col min="14105" max="14105" width="10.36328125" style="959" customWidth="1"/>
    <col min="14106" max="14313" width="9.08984375" style="959"/>
    <col min="14314" max="14314" width="2.90625" style="959" customWidth="1"/>
    <col min="14315" max="14315" width="13.08984375" style="959" customWidth="1"/>
    <col min="14316" max="14316" width="60.36328125" style="959" customWidth="1"/>
    <col min="14317" max="14321" width="10.90625" style="959" bestFit="1" customWidth="1"/>
    <col min="14322" max="14322" width="11.90625" style="959" bestFit="1" customWidth="1"/>
    <col min="14323" max="14323" width="14.36328125" style="959" bestFit="1" customWidth="1"/>
    <col min="14324" max="14324" width="17.453125" style="959" bestFit="1" customWidth="1"/>
    <col min="14325" max="14327" width="17.54296875" style="959" bestFit="1" customWidth="1"/>
    <col min="14328" max="14334" width="21" style="959" bestFit="1" customWidth="1"/>
    <col min="14335" max="14342" width="21.08984375" style="959" bestFit="1" customWidth="1"/>
    <col min="14343" max="14343" width="22.6328125" style="959" customWidth="1"/>
    <col min="14344" max="14344" width="22" style="959" customWidth="1"/>
    <col min="14345" max="14345" width="22.6328125" style="959" customWidth="1"/>
    <col min="14346" max="14351" width="21.08984375" style="959" bestFit="1" customWidth="1"/>
    <col min="14352" max="14352" width="19.54296875" style="959" customWidth="1"/>
    <col min="14353" max="14353" width="21.08984375" style="959" bestFit="1" customWidth="1"/>
    <col min="14354" max="14354" width="22.6328125" style="959" customWidth="1"/>
    <col min="14355" max="14355" width="22" style="959" customWidth="1"/>
    <col min="14356" max="14356" width="23.453125" style="959" bestFit="1" customWidth="1"/>
    <col min="14357" max="14359" width="9.08984375" style="959"/>
    <col min="14360" max="14360" width="11.36328125" style="959" customWidth="1"/>
    <col min="14361" max="14361" width="10.36328125" style="959" customWidth="1"/>
    <col min="14362" max="14569" width="9.08984375" style="959"/>
    <col min="14570" max="14570" width="2.90625" style="959" customWidth="1"/>
    <col min="14571" max="14571" width="13.08984375" style="959" customWidth="1"/>
    <col min="14572" max="14572" width="60.36328125" style="959" customWidth="1"/>
    <col min="14573" max="14577" width="10.90625" style="959" bestFit="1" customWidth="1"/>
    <col min="14578" max="14578" width="11.90625" style="959" bestFit="1" customWidth="1"/>
    <col min="14579" max="14579" width="14.36328125" style="959" bestFit="1" customWidth="1"/>
    <col min="14580" max="14580" width="17.453125" style="959" bestFit="1" customWidth="1"/>
    <col min="14581" max="14583" width="17.54296875" style="959" bestFit="1" customWidth="1"/>
    <col min="14584" max="14590" width="21" style="959" bestFit="1" customWidth="1"/>
    <col min="14591" max="14598" width="21.08984375" style="959" bestFit="1" customWidth="1"/>
    <col min="14599" max="14599" width="22.6328125" style="959" customWidth="1"/>
    <col min="14600" max="14600" width="22" style="959" customWidth="1"/>
    <col min="14601" max="14601" width="22.6328125" style="959" customWidth="1"/>
    <col min="14602" max="14607" width="21.08984375" style="959" bestFit="1" customWidth="1"/>
    <col min="14608" max="14608" width="19.54296875" style="959" customWidth="1"/>
    <col min="14609" max="14609" width="21.08984375" style="959" bestFit="1" customWidth="1"/>
    <col min="14610" max="14610" width="22.6328125" style="959" customWidth="1"/>
    <col min="14611" max="14611" width="22" style="959" customWidth="1"/>
    <col min="14612" max="14612" width="23.453125" style="959" bestFit="1" customWidth="1"/>
    <col min="14613" max="14615" width="9.08984375" style="959"/>
    <col min="14616" max="14616" width="11.36328125" style="959" customWidth="1"/>
    <col min="14617" max="14617" width="10.36328125" style="959" customWidth="1"/>
    <col min="14618" max="14825" width="9.08984375" style="959"/>
    <col min="14826" max="14826" width="2.90625" style="959" customWidth="1"/>
    <col min="14827" max="14827" width="13.08984375" style="959" customWidth="1"/>
    <col min="14828" max="14828" width="60.36328125" style="959" customWidth="1"/>
    <col min="14829" max="14833" width="10.90625" style="959" bestFit="1" customWidth="1"/>
    <col min="14834" max="14834" width="11.90625" style="959" bestFit="1" customWidth="1"/>
    <col min="14835" max="14835" width="14.36328125" style="959" bestFit="1" customWidth="1"/>
    <col min="14836" max="14836" width="17.453125" style="959" bestFit="1" customWidth="1"/>
    <col min="14837" max="14839" width="17.54296875" style="959" bestFit="1" customWidth="1"/>
    <col min="14840" max="14846" width="21" style="959" bestFit="1" customWidth="1"/>
    <col min="14847" max="14854" width="21.08984375" style="959" bestFit="1" customWidth="1"/>
    <col min="14855" max="14855" width="22.6328125" style="959" customWidth="1"/>
    <col min="14856" max="14856" width="22" style="959" customWidth="1"/>
    <col min="14857" max="14857" width="22.6328125" style="959" customWidth="1"/>
    <col min="14858" max="14863" width="21.08984375" style="959" bestFit="1" customWidth="1"/>
    <col min="14864" max="14864" width="19.54296875" style="959" customWidth="1"/>
    <col min="14865" max="14865" width="21.08984375" style="959" bestFit="1" customWidth="1"/>
    <col min="14866" max="14866" width="22.6328125" style="959" customWidth="1"/>
    <col min="14867" max="14867" width="22" style="959" customWidth="1"/>
    <col min="14868" max="14868" width="23.453125" style="959" bestFit="1" customWidth="1"/>
    <col min="14869" max="14871" width="9.08984375" style="959"/>
    <col min="14872" max="14872" width="11.36328125" style="959" customWidth="1"/>
    <col min="14873" max="14873" width="10.36328125" style="959" customWidth="1"/>
    <col min="14874" max="15081" width="9.08984375" style="959"/>
    <col min="15082" max="15082" width="2.90625" style="959" customWidth="1"/>
    <col min="15083" max="15083" width="13.08984375" style="959" customWidth="1"/>
    <col min="15084" max="15084" width="60.36328125" style="959" customWidth="1"/>
    <col min="15085" max="15089" width="10.90625" style="959" bestFit="1" customWidth="1"/>
    <col min="15090" max="15090" width="11.90625" style="959" bestFit="1" customWidth="1"/>
    <col min="15091" max="15091" width="14.36328125" style="959" bestFit="1" customWidth="1"/>
    <col min="15092" max="15092" width="17.453125" style="959" bestFit="1" customWidth="1"/>
    <col min="15093" max="15095" width="17.54296875" style="959" bestFit="1" customWidth="1"/>
    <col min="15096" max="15102" width="21" style="959" bestFit="1" customWidth="1"/>
    <col min="15103" max="15110" width="21.08984375" style="959" bestFit="1" customWidth="1"/>
    <col min="15111" max="15111" width="22.6328125" style="959" customWidth="1"/>
    <col min="15112" max="15112" width="22" style="959" customWidth="1"/>
    <col min="15113" max="15113" width="22.6328125" style="959" customWidth="1"/>
    <col min="15114" max="15119" width="21.08984375" style="959" bestFit="1" customWidth="1"/>
    <col min="15120" max="15120" width="19.54296875" style="959" customWidth="1"/>
    <col min="15121" max="15121" width="21.08984375" style="959" bestFit="1" customWidth="1"/>
    <col min="15122" max="15122" width="22.6328125" style="959" customWidth="1"/>
    <col min="15123" max="15123" width="22" style="959" customWidth="1"/>
    <col min="15124" max="15124" width="23.453125" style="959" bestFit="1" customWidth="1"/>
    <col min="15125" max="15127" width="9.08984375" style="959"/>
    <col min="15128" max="15128" width="11.36328125" style="959" customWidth="1"/>
    <col min="15129" max="15129" width="10.36328125" style="959" customWidth="1"/>
    <col min="15130" max="15337" width="9.08984375" style="959"/>
    <col min="15338" max="15338" width="2.90625" style="959" customWidth="1"/>
    <col min="15339" max="15339" width="13.08984375" style="959" customWidth="1"/>
    <col min="15340" max="15340" width="60.36328125" style="959" customWidth="1"/>
    <col min="15341" max="15345" width="10.90625" style="959" bestFit="1" customWidth="1"/>
    <col min="15346" max="15346" width="11.90625" style="959" bestFit="1" customWidth="1"/>
    <col min="15347" max="15347" width="14.36328125" style="959" bestFit="1" customWidth="1"/>
    <col min="15348" max="15348" width="17.453125" style="959" bestFit="1" customWidth="1"/>
    <col min="15349" max="15351" width="17.54296875" style="959" bestFit="1" customWidth="1"/>
    <col min="15352" max="15358" width="21" style="959" bestFit="1" customWidth="1"/>
    <col min="15359" max="15366" width="21.08984375" style="959" bestFit="1" customWidth="1"/>
    <col min="15367" max="15367" width="22.6328125" style="959" customWidth="1"/>
    <col min="15368" max="15368" width="22" style="959" customWidth="1"/>
    <col min="15369" max="15369" width="22.6328125" style="959" customWidth="1"/>
    <col min="15370" max="15375" width="21.08984375" style="959" bestFit="1" customWidth="1"/>
    <col min="15376" max="15376" width="19.54296875" style="959" customWidth="1"/>
    <col min="15377" max="15377" width="21.08984375" style="959" bestFit="1" customWidth="1"/>
    <col min="15378" max="15378" width="22.6328125" style="959" customWidth="1"/>
    <col min="15379" max="15379" width="22" style="959" customWidth="1"/>
    <col min="15380" max="15380" width="23.453125" style="959" bestFit="1" customWidth="1"/>
    <col min="15381" max="15383" width="9.08984375" style="959"/>
    <col min="15384" max="15384" width="11.36328125" style="959" customWidth="1"/>
    <col min="15385" max="15385" width="10.36328125" style="959" customWidth="1"/>
    <col min="15386" max="15593" width="9.08984375" style="959"/>
    <col min="15594" max="15594" width="2.90625" style="959" customWidth="1"/>
    <col min="15595" max="15595" width="13.08984375" style="959" customWidth="1"/>
    <col min="15596" max="15596" width="60.36328125" style="959" customWidth="1"/>
    <col min="15597" max="15601" width="10.90625" style="959" bestFit="1" customWidth="1"/>
    <col min="15602" max="15602" width="11.90625" style="959" bestFit="1" customWidth="1"/>
    <col min="15603" max="15603" width="14.36328125" style="959" bestFit="1" customWidth="1"/>
    <col min="15604" max="15604" width="17.453125" style="959" bestFit="1" customWidth="1"/>
    <col min="15605" max="15607" width="17.54296875" style="959" bestFit="1" customWidth="1"/>
    <col min="15608" max="15614" width="21" style="959" bestFit="1" customWidth="1"/>
    <col min="15615" max="15622" width="21.08984375" style="959" bestFit="1" customWidth="1"/>
    <col min="15623" max="15623" width="22.6328125" style="959" customWidth="1"/>
    <col min="15624" max="15624" width="22" style="959" customWidth="1"/>
    <col min="15625" max="15625" width="22.6328125" style="959" customWidth="1"/>
    <col min="15626" max="15631" width="21.08984375" style="959" bestFit="1" customWidth="1"/>
    <col min="15632" max="15632" width="19.54296875" style="959" customWidth="1"/>
    <col min="15633" max="15633" width="21.08984375" style="959" bestFit="1" customWidth="1"/>
    <col min="15634" max="15634" width="22.6328125" style="959" customWidth="1"/>
    <col min="15635" max="15635" width="22" style="959" customWidth="1"/>
    <col min="15636" max="15636" width="23.453125" style="959" bestFit="1" customWidth="1"/>
    <col min="15637" max="15639" width="9.08984375" style="959"/>
    <col min="15640" max="15640" width="11.36328125" style="959" customWidth="1"/>
    <col min="15641" max="15641" width="10.36328125" style="959" customWidth="1"/>
    <col min="15642" max="15849" width="9.08984375" style="959"/>
    <col min="15850" max="15850" width="2.90625" style="959" customWidth="1"/>
    <col min="15851" max="15851" width="13.08984375" style="959" customWidth="1"/>
    <col min="15852" max="15852" width="60.36328125" style="959" customWidth="1"/>
    <col min="15853" max="15857" width="10.90625" style="959" bestFit="1" customWidth="1"/>
    <col min="15858" max="15858" width="11.90625" style="959" bestFit="1" customWidth="1"/>
    <col min="15859" max="15859" width="14.36328125" style="959" bestFit="1" customWidth="1"/>
    <col min="15860" max="15860" width="17.453125" style="959" bestFit="1" customWidth="1"/>
    <col min="15861" max="15863" width="17.54296875" style="959" bestFit="1" customWidth="1"/>
    <col min="15864" max="15870" width="21" style="959" bestFit="1" customWidth="1"/>
    <col min="15871" max="15878" width="21.08984375" style="959" bestFit="1" customWidth="1"/>
    <col min="15879" max="15879" width="22.6328125" style="959" customWidth="1"/>
    <col min="15880" max="15880" width="22" style="959" customWidth="1"/>
    <col min="15881" max="15881" width="22.6328125" style="959" customWidth="1"/>
    <col min="15882" max="15887" width="21.08984375" style="959" bestFit="1" customWidth="1"/>
    <col min="15888" max="15888" width="19.54296875" style="959" customWidth="1"/>
    <col min="15889" max="15889" width="21.08984375" style="959" bestFit="1" customWidth="1"/>
    <col min="15890" max="15890" width="22.6328125" style="959" customWidth="1"/>
    <col min="15891" max="15891" width="22" style="959" customWidth="1"/>
    <col min="15892" max="15892" width="23.453125" style="959" bestFit="1" customWidth="1"/>
    <col min="15893" max="15895" width="9.08984375" style="959"/>
    <col min="15896" max="15896" width="11.36328125" style="959" customWidth="1"/>
    <col min="15897" max="15897" width="10.36328125" style="959" customWidth="1"/>
    <col min="15898" max="16105" width="9.08984375" style="959"/>
    <col min="16106" max="16106" width="2.90625" style="959" customWidth="1"/>
    <col min="16107" max="16107" width="13.08984375" style="959" customWidth="1"/>
    <col min="16108" max="16108" width="60.36328125" style="959" customWidth="1"/>
    <col min="16109" max="16113" width="10.90625" style="959" bestFit="1" customWidth="1"/>
    <col min="16114" max="16114" width="11.90625" style="959" bestFit="1" customWidth="1"/>
    <col min="16115" max="16115" width="14.36328125" style="959" bestFit="1" customWidth="1"/>
    <col min="16116" max="16116" width="17.453125" style="959" bestFit="1" customWidth="1"/>
    <col min="16117" max="16119" width="17.54296875" style="959" bestFit="1" customWidth="1"/>
    <col min="16120" max="16126" width="21" style="959" bestFit="1" customWidth="1"/>
    <col min="16127" max="16134" width="21.08984375" style="959" bestFit="1" customWidth="1"/>
    <col min="16135" max="16135" width="22.6328125" style="959" customWidth="1"/>
    <col min="16136" max="16136" width="22" style="959" customWidth="1"/>
    <col min="16137" max="16137" width="22.6328125" style="959" customWidth="1"/>
    <col min="16138" max="16143" width="21.08984375" style="959" bestFit="1" customWidth="1"/>
    <col min="16144" max="16144" width="19.54296875" style="959" customWidth="1"/>
    <col min="16145" max="16145" width="21.08984375" style="959" bestFit="1" customWidth="1"/>
    <col min="16146" max="16146" width="22.6328125" style="959" customWidth="1"/>
    <col min="16147" max="16147" width="22" style="959" customWidth="1"/>
    <col min="16148" max="16148" width="23.453125" style="959" bestFit="1" customWidth="1"/>
    <col min="16149" max="16151" width="9.08984375" style="959"/>
    <col min="16152" max="16152" width="11.36328125" style="959" customWidth="1"/>
    <col min="16153" max="16153" width="10.36328125" style="959" customWidth="1"/>
    <col min="16154" max="16384" width="9.08984375" style="959"/>
  </cols>
  <sheetData>
    <row r="1" spans="2:26" x14ac:dyDescent="0.3">
      <c r="B1" s="958"/>
    </row>
    <row r="2" spans="2:26" x14ac:dyDescent="0.3">
      <c r="B2" s="960"/>
      <c r="C2" s="960"/>
      <c r="D2" s="960"/>
      <c r="E2" s="961"/>
      <c r="F2" s="961"/>
      <c r="G2" s="961"/>
      <c r="H2" s="961"/>
      <c r="I2" s="961"/>
      <c r="J2" s="961"/>
      <c r="K2" s="961"/>
      <c r="L2" s="798" t="str">
        <f>Index!$B$2</f>
        <v xml:space="preserve">      Maharashtra State Power Generation Company Ltd.</v>
      </c>
      <c r="M2" s="961"/>
      <c r="N2" s="961"/>
      <c r="O2" s="961"/>
      <c r="P2" s="960"/>
      <c r="Q2" s="961"/>
      <c r="R2" s="961"/>
      <c r="S2" s="961"/>
      <c r="T2" s="961"/>
      <c r="U2" s="961"/>
      <c r="V2" s="961"/>
      <c r="W2" s="961"/>
      <c r="X2" s="961"/>
      <c r="Y2" s="961"/>
      <c r="Z2" s="961"/>
    </row>
    <row r="3" spans="2:26" x14ac:dyDescent="0.3">
      <c r="B3" s="962"/>
      <c r="C3" s="963"/>
      <c r="E3" s="962"/>
      <c r="F3" s="962"/>
      <c r="G3" s="962"/>
      <c r="H3" s="962"/>
      <c r="I3" s="962"/>
      <c r="J3" s="962"/>
      <c r="K3" s="962"/>
      <c r="L3" s="964" t="s">
        <v>1192</v>
      </c>
      <c r="M3" s="962"/>
      <c r="N3" s="962"/>
      <c r="O3" s="962"/>
      <c r="P3" s="962"/>
      <c r="Q3" s="962"/>
      <c r="R3" s="962"/>
      <c r="S3" s="962"/>
      <c r="T3" s="962"/>
      <c r="U3" s="962"/>
      <c r="V3" s="962"/>
      <c r="W3" s="962"/>
      <c r="X3" s="963"/>
      <c r="Y3" s="963"/>
      <c r="Z3" s="963"/>
    </row>
    <row r="4" spans="2:26" x14ac:dyDescent="0.3">
      <c r="B4" s="960"/>
      <c r="C4" s="960"/>
      <c r="D4" s="960"/>
      <c r="L4" s="965" t="s">
        <v>1510</v>
      </c>
      <c r="P4" s="960"/>
    </row>
    <row r="5" spans="2:26" x14ac:dyDescent="0.3">
      <c r="B5" s="966"/>
      <c r="C5" s="966"/>
      <c r="D5" s="966"/>
    </row>
    <row r="6" spans="2:26" x14ac:dyDescent="0.3">
      <c r="B6" s="1881" t="s">
        <v>1511</v>
      </c>
      <c r="C6" s="967" t="s">
        <v>1512</v>
      </c>
      <c r="D6" s="1884" t="s">
        <v>1513</v>
      </c>
      <c r="E6" s="1884"/>
      <c r="F6" s="1884"/>
      <c r="G6" s="1884"/>
      <c r="H6" s="1884" t="s">
        <v>1513</v>
      </c>
      <c r="I6" s="1884"/>
      <c r="J6" s="1884"/>
      <c r="K6" s="1884"/>
      <c r="L6" s="1884" t="s">
        <v>420</v>
      </c>
      <c r="M6" s="1884"/>
      <c r="N6" s="1884"/>
      <c r="O6" s="1884"/>
      <c r="P6" s="1884" t="s">
        <v>1514</v>
      </c>
      <c r="Q6" s="1884"/>
      <c r="R6" s="1884"/>
      <c r="S6" s="1884"/>
      <c r="T6" s="968"/>
    </row>
    <row r="7" spans="2:26" x14ac:dyDescent="0.3">
      <c r="B7" s="1882"/>
      <c r="C7" s="969" t="s">
        <v>1515</v>
      </c>
      <c r="D7" s="970" t="s">
        <v>1516</v>
      </c>
      <c r="E7" s="970" t="s">
        <v>1517</v>
      </c>
      <c r="F7" s="970" t="s">
        <v>1518</v>
      </c>
      <c r="G7" s="970" t="s">
        <v>1519</v>
      </c>
      <c r="H7" s="970" t="s">
        <v>1516</v>
      </c>
      <c r="I7" s="970" t="s">
        <v>1517</v>
      </c>
      <c r="J7" s="970" t="s">
        <v>1518</v>
      </c>
      <c r="K7" s="970" t="s">
        <v>1519</v>
      </c>
      <c r="L7" s="970" t="s">
        <v>1516</v>
      </c>
      <c r="M7" s="970" t="s">
        <v>1517</v>
      </c>
      <c r="N7" s="970" t="s">
        <v>1518</v>
      </c>
      <c r="O7" s="970" t="s">
        <v>1519</v>
      </c>
      <c r="P7" s="970" t="s">
        <v>1516</v>
      </c>
      <c r="Q7" s="970" t="s">
        <v>1517</v>
      </c>
      <c r="R7" s="970" t="s">
        <v>1518</v>
      </c>
      <c r="S7" s="970" t="s">
        <v>1519</v>
      </c>
      <c r="T7" s="970" t="s">
        <v>271</v>
      </c>
    </row>
    <row r="8" spans="2:26" x14ac:dyDescent="0.3">
      <c r="B8" s="1883"/>
      <c r="C8" s="967" t="s">
        <v>1520</v>
      </c>
      <c r="D8" s="968"/>
      <c r="E8" s="968"/>
      <c r="F8" s="968"/>
      <c r="G8" s="968"/>
      <c r="H8" s="968"/>
      <c r="I8" s="968"/>
      <c r="J8" s="968"/>
      <c r="K8" s="968"/>
      <c r="L8" s="968"/>
      <c r="M8" s="968"/>
      <c r="N8" s="968"/>
      <c r="O8" s="968"/>
      <c r="P8" s="968"/>
      <c r="Q8" s="968"/>
      <c r="R8" s="968"/>
      <c r="S8" s="968"/>
      <c r="T8" s="968"/>
    </row>
    <row r="9" spans="2:26" x14ac:dyDescent="0.3">
      <c r="B9" s="971"/>
      <c r="C9" s="971"/>
      <c r="D9" s="971"/>
      <c r="E9" s="971"/>
      <c r="F9" s="971"/>
      <c r="G9" s="971"/>
      <c r="H9" s="971"/>
      <c r="I9" s="971"/>
      <c r="J9" s="971"/>
      <c r="K9" s="971"/>
      <c r="L9" s="971"/>
      <c r="M9" s="971"/>
      <c r="N9" s="971"/>
      <c r="O9" s="971"/>
      <c r="P9" s="971"/>
      <c r="Q9" s="971"/>
      <c r="R9" s="971"/>
      <c r="S9" s="971"/>
      <c r="T9" s="971"/>
    </row>
    <row r="10" spans="2:26" x14ac:dyDescent="0.3">
      <c r="B10" s="972">
        <v>1.1000000000000001</v>
      </c>
      <c r="C10" s="973" t="s">
        <v>422</v>
      </c>
      <c r="D10" s="971"/>
      <c r="E10" s="971"/>
      <c r="F10" s="971"/>
      <c r="G10" s="971"/>
      <c r="H10" s="971"/>
      <c r="I10" s="971"/>
      <c r="J10" s="971"/>
      <c r="K10" s="971"/>
      <c r="L10" s="971"/>
      <c r="M10" s="971"/>
      <c r="N10" s="971"/>
      <c r="O10" s="971"/>
      <c r="P10" s="971"/>
      <c r="Q10" s="971"/>
      <c r="R10" s="971"/>
      <c r="S10" s="971"/>
      <c r="T10" s="971"/>
    </row>
    <row r="11" spans="2:26" x14ac:dyDescent="0.3">
      <c r="B11" s="971"/>
      <c r="C11" s="971" t="s">
        <v>1521</v>
      </c>
      <c r="D11" s="974"/>
      <c r="E11" s="974"/>
      <c r="F11" s="974"/>
      <c r="G11" s="974"/>
      <c r="H11" s="974"/>
      <c r="I11" s="974"/>
      <c r="J11" s="974"/>
      <c r="K11" s="974"/>
      <c r="L11" s="974"/>
      <c r="M11" s="974"/>
      <c r="N11" s="974"/>
      <c r="O11" s="974"/>
      <c r="P11" s="974"/>
      <c r="Q11" s="974"/>
      <c r="R11" s="974"/>
      <c r="S11" s="974"/>
      <c r="T11" s="975"/>
    </row>
    <row r="12" spans="2:26" x14ac:dyDescent="0.3">
      <c r="B12" s="971"/>
      <c r="C12" s="971" t="s">
        <v>1522</v>
      </c>
      <c r="D12" s="976"/>
      <c r="E12" s="976"/>
      <c r="F12" s="976"/>
      <c r="G12" s="976"/>
      <c r="H12" s="976"/>
      <c r="I12" s="976"/>
      <c r="J12" s="976"/>
      <c r="K12" s="976"/>
      <c r="L12" s="976"/>
      <c r="M12" s="976"/>
      <c r="N12" s="976"/>
      <c r="O12" s="976"/>
      <c r="P12" s="976"/>
      <c r="Q12" s="976"/>
      <c r="R12" s="976"/>
      <c r="S12" s="976"/>
      <c r="T12" s="975"/>
    </row>
    <row r="13" spans="2:26" x14ac:dyDescent="0.3">
      <c r="B13" s="971"/>
      <c r="C13" s="971" t="s">
        <v>414</v>
      </c>
      <c r="D13" s="974"/>
      <c r="E13" s="974"/>
      <c r="F13" s="974"/>
      <c r="G13" s="974"/>
      <c r="H13" s="974"/>
      <c r="I13" s="974"/>
      <c r="J13" s="974"/>
      <c r="K13" s="974"/>
      <c r="L13" s="974"/>
      <c r="M13" s="974"/>
      <c r="N13" s="974"/>
      <c r="O13" s="974"/>
      <c r="P13" s="974"/>
      <c r="Q13" s="974"/>
      <c r="R13" s="974"/>
      <c r="S13" s="974"/>
      <c r="T13" s="954"/>
      <c r="U13" s="977"/>
    </row>
    <row r="14" spans="2:26" x14ac:dyDescent="0.3">
      <c r="B14" s="971"/>
      <c r="C14" s="971" t="s">
        <v>1523</v>
      </c>
      <c r="D14" s="974"/>
      <c r="E14" s="974"/>
      <c r="F14" s="974"/>
      <c r="G14" s="974"/>
      <c r="H14" s="974"/>
      <c r="I14" s="974"/>
      <c r="J14" s="974"/>
      <c r="K14" s="974"/>
      <c r="L14" s="974"/>
      <c r="M14" s="974"/>
      <c r="N14" s="974"/>
      <c r="O14" s="974"/>
      <c r="P14" s="974"/>
      <c r="Q14" s="974"/>
      <c r="R14" s="974"/>
      <c r="S14" s="974"/>
      <c r="T14" s="975"/>
    </row>
    <row r="15" spans="2:26" x14ac:dyDescent="0.3">
      <c r="B15" s="971"/>
      <c r="C15" s="971" t="s">
        <v>1524</v>
      </c>
      <c r="D15" s="974"/>
      <c r="E15" s="974"/>
      <c r="F15" s="974"/>
      <c r="G15" s="974"/>
      <c r="H15" s="974"/>
      <c r="I15" s="974"/>
      <c r="J15" s="974"/>
      <c r="K15" s="974"/>
      <c r="L15" s="974"/>
      <c r="M15" s="974"/>
      <c r="N15" s="974"/>
      <c r="O15" s="974"/>
      <c r="P15" s="974"/>
      <c r="Q15" s="974"/>
      <c r="R15" s="974"/>
      <c r="S15" s="974"/>
      <c r="T15" s="975"/>
    </row>
    <row r="16" spans="2:26" x14ac:dyDescent="0.3">
      <c r="B16" s="971"/>
      <c r="C16" s="971"/>
      <c r="D16" s="974"/>
      <c r="E16" s="974"/>
      <c r="F16" s="974"/>
      <c r="G16" s="974"/>
      <c r="H16" s="974"/>
      <c r="I16" s="974"/>
      <c r="J16" s="974"/>
      <c r="K16" s="974"/>
      <c r="L16" s="974"/>
      <c r="M16" s="974"/>
      <c r="N16" s="974"/>
      <c r="O16" s="974"/>
      <c r="P16" s="974"/>
      <c r="Q16" s="974"/>
      <c r="R16" s="974"/>
      <c r="S16" s="974"/>
      <c r="T16" s="975"/>
    </row>
    <row r="17" spans="2:21" s="980" customFormat="1" x14ac:dyDescent="0.3">
      <c r="B17" s="973">
        <v>1.2</v>
      </c>
      <c r="C17" s="973" t="s">
        <v>421</v>
      </c>
      <c r="D17" s="978"/>
      <c r="E17" s="978"/>
      <c r="F17" s="978"/>
      <c r="G17" s="978"/>
      <c r="H17" s="978"/>
      <c r="I17" s="978"/>
      <c r="J17" s="978"/>
      <c r="K17" s="978"/>
      <c r="L17" s="978"/>
      <c r="M17" s="978"/>
      <c r="N17" s="978"/>
      <c r="O17" s="978"/>
      <c r="P17" s="978"/>
      <c r="Q17" s="978"/>
      <c r="R17" s="978"/>
      <c r="S17" s="978"/>
      <c r="T17" s="979"/>
    </row>
    <row r="18" spans="2:21" x14ac:dyDescent="0.3">
      <c r="B18" s="971"/>
      <c r="C18" s="971" t="s">
        <v>1521</v>
      </c>
      <c r="D18" s="975"/>
      <c r="E18" s="975"/>
      <c r="F18" s="975"/>
      <c r="G18" s="975"/>
      <c r="H18" s="975"/>
      <c r="I18" s="975"/>
      <c r="J18" s="975"/>
      <c r="K18" s="975"/>
      <c r="L18" s="975"/>
      <c r="M18" s="975"/>
      <c r="N18" s="975"/>
      <c r="O18" s="975"/>
      <c r="P18" s="975"/>
      <c r="Q18" s="975"/>
      <c r="R18" s="975"/>
      <c r="S18" s="975"/>
      <c r="T18" s="975"/>
    </row>
    <row r="19" spans="2:21" x14ac:dyDescent="0.3">
      <c r="B19" s="971"/>
      <c r="C19" s="971" t="s">
        <v>1522</v>
      </c>
      <c r="D19" s="981"/>
      <c r="E19" s="981"/>
      <c r="F19" s="981"/>
      <c r="G19" s="981"/>
      <c r="H19" s="981"/>
      <c r="I19" s="981"/>
      <c r="J19" s="981"/>
      <c r="K19" s="981"/>
      <c r="L19" s="981"/>
      <c r="M19" s="981"/>
      <c r="N19" s="981"/>
      <c r="O19" s="981"/>
      <c r="P19" s="981"/>
      <c r="Q19" s="981"/>
      <c r="R19" s="981"/>
      <c r="S19" s="981"/>
      <c r="T19" s="975"/>
    </row>
    <row r="20" spans="2:21" x14ac:dyDescent="0.3">
      <c r="B20" s="971"/>
      <c r="C20" s="971" t="s">
        <v>414</v>
      </c>
      <c r="D20" s="975"/>
      <c r="E20" s="975"/>
      <c r="F20" s="975"/>
      <c r="G20" s="975"/>
      <c r="H20" s="975"/>
      <c r="I20" s="975"/>
      <c r="J20" s="975"/>
      <c r="K20" s="975"/>
      <c r="L20" s="975"/>
      <c r="M20" s="975"/>
      <c r="N20" s="975"/>
      <c r="O20" s="975"/>
      <c r="P20" s="975"/>
      <c r="Q20" s="975"/>
      <c r="R20" s="975"/>
      <c r="S20" s="975"/>
      <c r="T20" s="954"/>
      <c r="U20" s="977"/>
    </row>
    <row r="21" spans="2:21" x14ac:dyDescent="0.3">
      <c r="B21" s="971"/>
      <c r="C21" s="971" t="s">
        <v>1523</v>
      </c>
      <c r="D21" s="975"/>
      <c r="E21" s="975"/>
      <c r="F21" s="975"/>
      <c r="G21" s="975"/>
      <c r="H21" s="975"/>
      <c r="I21" s="975"/>
      <c r="J21" s="975"/>
      <c r="K21" s="975"/>
      <c r="L21" s="975"/>
      <c r="M21" s="975"/>
      <c r="N21" s="975"/>
      <c r="O21" s="975"/>
      <c r="P21" s="975"/>
      <c r="Q21" s="975"/>
      <c r="R21" s="975"/>
      <c r="S21" s="975"/>
      <c r="T21" s="975"/>
    </row>
    <row r="22" spans="2:21" x14ac:dyDescent="0.3">
      <c r="B22" s="971"/>
      <c r="C22" s="971" t="s">
        <v>1524</v>
      </c>
      <c r="D22" s="975"/>
      <c r="E22" s="975"/>
      <c r="F22" s="975"/>
      <c r="G22" s="975"/>
      <c r="H22" s="975"/>
      <c r="I22" s="975"/>
      <c r="J22" s="975"/>
      <c r="K22" s="975"/>
      <c r="L22" s="975"/>
      <c r="M22" s="975"/>
      <c r="N22" s="975"/>
      <c r="O22" s="975"/>
      <c r="P22" s="975"/>
      <c r="Q22" s="975"/>
      <c r="R22" s="975"/>
      <c r="S22" s="975"/>
      <c r="T22" s="975"/>
    </row>
    <row r="23" spans="2:21" x14ac:dyDescent="0.3">
      <c r="B23" s="971"/>
      <c r="C23" s="971"/>
      <c r="D23" s="975"/>
      <c r="E23" s="975"/>
      <c r="F23" s="975"/>
      <c r="G23" s="975"/>
      <c r="H23" s="975"/>
      <c r="I23" s="975"/>
      <c r="J23" s="975"/>
      <c r="K23" s="975"/>
      <c r="L23" s="975"/>
      <c r="M23" s="975"/>
      <c r="N23" s="975"/>
      <c r="O23" s="975"/>
      <c r="P23" s="975"/>
      <c r="Q23" s="975"/>
      <c r="R23" s="975"/>
      <c r="S23" s="975"/>
      <c r="T23" s="975"/>
    </row>
    <row r="24" spans="2:21" x14ac:dyDescent="0.3">
      <c r="B24" s="973">
        <v>1.3</v>
      </c>
      <c r="C24" s="973" t="s">
        <v>1525</v>
      </c>
      <c r="D24" s="975"/>
      <c r="E24" s="975"/>
      <c r="F24" s="975"/>
      <c r="G24" s="975"/>
      <c r="H24" s="975"/>
      <c r="I24" s="975"/>
      <c r="J24" s="975"/>
      <c r="K24" s="975"/>
      <c r="L24" s="975"/>
      <c r="M24" s="975"/>
      <c r="N24" s="975"/>
      <c r="O24" s="975"/>
      <c r="P24" s="975"/>
      <c r="Q24" s="975"/>
      <c r="R24" s="975"/>
      <c r="S24" s="975"/>
      <c r="T24" s="975"/>
    </row>
    <row r="25" spans="2:21" x14ac:dyDescent="0.3">
      <c r="B25" s="971"/>
      <c r="C25" s="971" t="s">
        <v>1521</v>
      </c>
      <c r="D25" s="975"/>
      <c r="E25" s="975"/>
      <c r="F25" s="975"/>
      <c r="G25" s="975"/>
      <c r="H25" s="975"/>
      <c r="I25" s="975"/>
      <c r="J25" s="975"/>
      <c r="K25" s="975"/>
      <c r="L25" s="975"/>
      <c r="M25" s="975"/>
      <c r="N25" s="975"/>
      <c r="O25" s="975"/>
      <c r="P25" s="975"/>
      <c r="Q25" s="975"/>
      <c r="R25" s="975"/>
      <c r="S25" s="975"/>
      <c r="T25" s="975"/>
    </row>
    <row r="26" spans="2:21" x14ac:dyDescent="0.3">
      <c r="B26" s="971"/>
      <c r="C26" s="971" t="s">
        <v>1522</v>
      </c>
      <c r="D26" s="981"/>
      <c r="E26" s="981"/>
      <c r="F26" s="981"/>
      <c r="G26" s="981"/>
      <c r="H26" s="981"/>
      <c r="I26" s="981"/>
      <c r="J26" s="981"/>
      <c r="K26" s="981"/>
      <c r="L26" s="981"/>
      <c r="M26" s="981"/>
      <c r="N26" s="981"/>
      <c r="O26" s="981"/>
      <c r="P26" s="981"/>
      <c r="Q26" s="981"/>
      <c r="R26" s="981"/>
      <c r="S26" s="981"/>
      <c r="T26" s="954"/>
    </row>
    <row r="27" spans="2:21" x14ac:dyDescent="0.3">
      <c r="B27" s="971"/>
      <c r="C27" s="971" t="s">
        <v>414</v>
      </c>
      <c r="D27" s="975"/>
      <c r="E27" s="975"/>
      <c r="F27" s="975"/>
      <c r="G27" s="975"/>
      <c r="H27" s="975"/>
      <c r="I27" s="975"/>
      <c r="J27" s="975"/>
      <c r="K27" s="975"/>
      <c r="L27" s="975"/>
      <c r="M27" s="975"/>
      <c r="N27" s="975"/>
      <c r="O27" s="975"/>
      <c r="P27" s="975"/>
      <c r="Q27" s="975"/>
      <c r="R27" s="975"/>
      <c r="S27" s="975"/>
      <c r="T27" s="954"/>
      <c r="U27" s="977"/>
    </row>
    <row r="28" spans="2:21" x14ac:dyDescent="0.3">
      <c r="B28" s="971"/>
      <c r="C28" s="971" t="s">
        <v>1523</v>
      </c>
      <c r="D28" s="975"/>
      <c r="E28" s="975"/>
      <c r="F28" s="975"/>
      <c r="G28" s="975"/>
      <c r="H28" s="975"/>
      <c r="I28" s="975"/>
      <c r="J28" s="975"/>
      <c r="K28" s="975"/>
      <c r="L28" s="975"/>
      <c r="M28" s="975"/>
      <c r="N28" s="975"/>
      <c r="O28" s="975"/>
      <c r="P28" s="975"/>
      <c r="Q28" s="975"/>
      <c r="R28" s="975"/>
      <c r="S28" s="975"/>
      <c r="T28" s="975"/>
    </row>
    <row r="29" spans="2:21" ht="29.4" customHeight="1" x14ac:dyDescent="0.3">
      <c r="B29" s="971"/>
      <c r="C29" s="982" t="s">
        <v>1524</v>
      </c>
      <c r="D29" s="975"/>
      <c r="E29" s="975"/>
      <c r="F29" s="975"/>
      <c r="G29" s="975"/>
      <c r="H29" s="975"/>
      <c r="I29" s="975"/>
      <c r="J29" s="975"/>
      <c r="K29" s="975"/>
      <c r="L29" s="975"/>
      <c r="M29" s="975"/>
      <c r="N29" s="975"/>
      <c r="O29" s="975"/>
      <c r="P29" s="975"/>
      <c r="Q29" s="975"/>
      <c r="R29" s="975"/>
      <c r="S29" s="975"/>
      <c r="T29" s="975"/>
    </row>
    <row r="30" spans="2:21" x14ac:dyDescent="0.3">
      <c r="B30" s="971"/>
      <c r="C30" s="971"/>
      <c r="D30" s="975"/>
      <c r="E30" s="975"/>
      <c r="F30" s="975"/>
      <c r="G30" s="975"/>
      <c r="H30" s="975"/>
      <c r="I30" s="975"/>
      <c r="J30" s="975"/>
      <c r="K30" s="975"/>
      <c r="L30" s="975"/>
      <c r="M30" s="975"/>
      <c r="N30" s="975"/>
      <c r="O30" s="975"/>
      <c r="P30" s="975"/>
      <c r="Q30" s="975"/>
      <c r="R30" s="975"/>
      <c r="S30" s="975"/>
      <c r="T30" s="975"/>
    </row>
    <row r="31" spans="2:21" x14ac:dyDescent="0.3">
      <c r="B31" s="971"/>
      <c r="C31" s="971"/>
      <c r="D31" s="975"/>
      <c r="E31" s="975"/>
      <c r="F31" s="975"/>
      <c r="G31" s="975"/>
      <c r="H31" s="975"/>
      <c r="I31" s="975"/>
      <c r="J31" s="975"/>
      <c r="K31" s="975"/>
      <c r="L31" s="975"/>
      <c r="M31" s="975"/>
      <c r="N31" s="975"/>
      <c r="O31" s="975"/>
      <c r="P31" s="975"/>
      <c r="Q31" s="975"/>
      <c r="R31" s="975"/>
      <c r="S31" s="975"/>
      <c r="T31" s="975"/>
    </row>
    <row r="32" spans="2:21" x14ac:dyDescent="0.3">
      <c r="B32" s="972">
        <v>1.4</v>
      </c>
      <c r="C32" s="973" t="s">
        <v>1526</v>
      </c>
      <c r="D32" s="975"/>
      <c r="E32" s="975"/>
      <c r="F32" s="975"/>
      <c r="G32" s="975"/>
      <c r="H32" s="975"/>
      <c r="I32" s="975"/>
      <c r="J32" s="975"/>
      <c r="K32" s="975"/>
      <c r="L32" s="975"/>
      <c r="M32" s="975"/>
      <c r="N32" s="975"/>
      <c r="O32" s="975"/>
      <c r="P32" s="975"/>
      <c r="Q32" s="975"/>
      <c r="R32" s="975"/>
      <c r="S32" s="975"/>
      <c r="T32" s="975"/>
    </row>
    <row r="33" spans="2:21" x14ac:dyDescent="0.3">
      <c r="B33" s="971"/>
      <c r="C33" s="971" t="s">
        <v>1521</v>
      </c>
      <c r="D33" s="981"/>
      <c r="E33" s="981"/>
      <c r="F33" s="981"/>
      <c r="G33" s="981"/>
      <c r="H33" s="981"/>
      <c r="I33" s="981"/>
      <c r="J33" s="981"/>
      <c r="K33" s="981"/>
      <c r="L33" s="981"/>
      <c r="M33" s="981"/>
      <c r="N33" s="981"/>
      <c r="O33" s="981"/>
      <c r="P33" s="981"/>
      <c r="Q33" s="981"/>
      <c r="R33" s="981"/>
      <c r="S33" s="981"/>
      <c r="T33" s="975"/>
    </row>
    <row r="34" spans="2:21" x14ac:dyDescent="0.3">
      <c r="B34" s="971"/>
      <c r="C34" s="971" t="s">
        <v>1522</v>
      </c>
      <c r="D34" s="981"/>
      <c r="E34" s="981"/>
      <c r="F34" s="981"/>
      <c r="G34" s="981"/>
      <c r="H34" s="981"/>
      <c r="I34" s="981"/>
      <c r="J34" s="981"/>
      <c r="K34" s="981"/>
      <c r="L34" s="981"/>
      <c r="M34" s="981"/>
      <c r="N34" s="981"/>
      <c r="O34" s="981"/>
      <c r="P34" s="981"/>
      <c r="Q34" s="981"/>
      <c r="R34" s="981"/>
      <c r="S34" s="981"/>
      <c r="T34" s="975"/>
    </row>
    <row r="35" spans="2:21" x14ac:dyDescent="0.3">
      <c r="B35" s="971"/>
      <c r="C35" s="971" t="s">
        <v>414</v>
      </c>
      <c r="D35" s="981"/>
      <c r="E35" s="981"/>
      <c r="F35" s="981"/>
      <c r="G35" s="981"/>
      <c r="H35" s="981"/>
      <c r="I35" s="981"/>
      <c r="J35" s="981"/>
      <c r="K35" s="981"/>
      <c r="L35" s="981"/>
      <c r="M35" s="981"/>
      <c r="N35" s="981"/>
      <c r="O35" s="981"/>
      <c r="P35" s="981"/>
      <c r="Q35" s="981"/>
      <c r="R35" s="981"/>
      <c r="S35" s="981"/>
      <c r="T35" s="975"/>
    </row>
    <row r="36" spans="2:21" x14ac:dyDescent="0.3">
      <c r="B36" s="971"/>
      <c r="C36" s="971" t="s">
        <v>1523</v>
      </c>
      <c r="D36" s="981"/>
      <c r="E36" s="981"/>
      <c r="F36" s="981"/>
      <c r="G36" s="981"/>
      <c r="H36" s="981"/>
      <c r="I36" s="981"/>
      <c r="J36" s="981"/>
      <c r="K36" s="981"/>
      <c r="L36" s="981"/>
      <c r="M36" s="981"/>
      <c r="N36" s="981"/>
      <c r="O36" s="981"/>
      <c r="P36" s="981"/>
      <c r="Q36" s="981"/>
      <c r="R36" s="981"/>
      <c r="S36" s="981"/>
      <c r="T36" s="975"/>
    </row>
    <row r="37" spans="2:21" x14ac:dyDescent="0.3">
      <c r="B37" s="971"/>
      <c r="C37" s="971" t="s">
        <v>1524</v>
      </c>
      <c r="D37" s="975"/>
      <c r="E37" s="975"/>
      <c r="F37" s="975"/>
      <c r="G37" s="975"/>
      <c r="H37" s="975"/>
      <c r="I37" s="975"/>
      <c r="J37" s="975"/>
      <c r="K37" s="975"/>
      <c r="L37" s="975"/>
      <c r="M37" s="975"/>
      <c r="N37" s="975"/>
      <c r="O37" s="975"/>
      <c r="P37" s="975"/>
      <c r="Q37" s="975"/>
      <c r="R37" s="975"/>
      <c r="S37" s="975"/>
      <c r="T37" s="975"/>
    </row>
    <row r="38" spans="2:21" x14ac:dyDescent="0.3">
      <c r="B38" s="971"/>
      <c r="C38" s="971"/>
      <c r="D38" s="975"/>
      <c r="E38" s="975"/>
      <c r="F38" s="975"/>
      <c r="G38" s="975"/>
      <c r="H38" s="975"/>
      <c r="I38" s="975"/>
      <c r="J38" s="975"/>
      <c r="K38" s="975"/>
      <c r="L38" s="975"/>
      <c r="M38" s="975"/>
      <c r="N38" s="975"/>
      <c r="O38" s="975"/>
      <c r="P38" s="975"/>
      <c r="Q38" s="975"/>
      <c r="R38" s="975"/>
      <c r="S38" s="975"/>
      <c r="T38" s="975"/>
    </row>
    <row r="39" spans="2:21" x14ac:dyDescent="0.3">
      <c r="B39" s="971">
        <v>2</v>
      </c>
      <c r="C39" s="973" t="s">
        <v>1527</v>
      </c>
      <c r="D39" s="975"/>
      <c r="E39" s="975"/>
      <c r="F39" s="975"/>
      <c r="G39" s="975"/>
      <c r="H39" s="975"/>
      <c r="I39" s="975"/>
      <c r="J39" s="975"/>
      <c r="K39" s="975"/>
      <c r="L39" s="975"/>
      <c r="M39" s="975"/>
      <c r="N39" s="975"/>
      <c r="O39" s="975"/>
      <c r="P39" s="975"/>
      <c r="Q39" s="975"/>
      <c r="R39" s="975"/>
      <c r="S39" s="975"/>
      <c r="T39" s="983">
        <f>SUM(D39:S39)</f>
        <v>0</v>
      </c>
    </row>
    <row r="40" spans="2:21" x14ac:dyDescent="0.3">
      <c r="B40" s="971"/>
      <c r="C40" s="984" t="s">
        <v>1528</v>
      </c>
      <c r="D40" s="981"/>
      <c r="E40" s="981"/>
      <c r="F40" s="981"/>
      <c r="G40" s="981"/>
      <c r="H40" s="981"/>
      <c r="I40" s="981"/>
      <c r="J40" s="981"/>
      <c r="K40" s="981"/>
      <c r="L40" s="981"/>
      <c r="M40" s="981"/>
      <c r="N40" s="981"/>
      <c r="O40" s="981"/>
      <c r="P40" s="981"/>
      <c r="Q40" s="981"/>
      <c r="R40" s="981"/>
      <c r="S40" s="981"/>
      <c r="T40" s="975"/>
    </row>
    <row r="41" spans="2:21" x14ac:dyDescent="0.3">
      <c r="B41" s="971"/>
      <c r="C41" s="984" t="s">
        <v>1529</v>
      </c>
      <c r="D41" s="981"/>
      <c r="E41" s="981"/>
      <c r="F41" s="981"/>
      <c r="G41" s="981"/>
      <c r="H41" s="981"/>
      <c r="I41" s="981"/>
      <c r="J41" s="981"/>
      <c r="K41" s="981"/>
      <c r="L41" s="981"/>
      <c r="M41" s="981"/>
      <c r="N41" s="981"/>
      <c r="O41" s="981"/>
      <c r="P41" s="981"/>
      <c r="Q41" s="981"/>
      <c r="R41" s="981"/>
      <c r="S41" s="981"/>
      <c r="T41" s="975"/>
    </row>
    <row r="42" spans="2:21" x14ac:dyDescent="0.3">
      <c r="B42" s="971"/>
      <c r="C42" s="973" t="s">
        <v>1530</v>
      </c>
      <c r="D42" s="981"/>
      <c r="E42" s="981"/>
      <c r="F42" s="981"/>
      <c r="G42" s="981"/>
      <c r="H42" s="981"/>
      <c r="I42" s="981"/>
      <c r="J42" s="981"/>
      <c r="K42" s="981"/>
      <c r="L42" s="981"/>
      <c r="M42" s="981"/>
      <c r="N42" s="981"/>
      <c r="O42" s="981"/>
      <c r="P42" s="981"/>
      <c r="Q42" s="981"/>
      <c r="R42" s="981"/>
      <c r="S42" s="981"/>
      <c r="T42" s="975"/>
      <c r="U42" s="977"/>
    </row>
    <row r="51" spans="9:11" x14ac:dyDescent="0.3">
      <c r="I51" s="977"/>
      <c r="K51" s="977"/>
    </row>
    <row r="52" spans="9:11" x14ac:dyDescent="0.3">
      <c r="I52" s="977"/>
      <c r="K52" s="977"/>
    </row>
    <row r="53" spans="9:11" x14ac:dyDescent="0.3">
      <c r="I53" s="977"/>
      <c r="K53" s="977"/>
    </row>
    <row r="54" spans="9:11" x14ac:dyDescent="0.3">
      <c r="I54" s="977"/>
      <c r="K54" s="977"/>
    </row>
    <row r="55" spans="9:11" x14ac:dyDescent="0.3">
      <c r="K55" s="977"/>
    </row>
  </sheetData>
  <mergeCells count="5">
    <mergeCell ref="B6:B8"/>
    <mergeCell ref="D6:G6"/>
    <mergeCell ref="H6:K6"/>
    <mergeCell ref="L6:O6"/>
    <mergeCell ref="P6:S6"/>
  </mergeCells>
  <printOptions horizontalCentered="1" verticalCentered="1"/>
  <pageMargins left="1.0629921259842521" right="0.39370078740157483" top="0.62992125984251968" bottom="0.39370078740157483" header="0.31496062992125984" footer="0.31496062992125984"/>
  <pageSetup paperSize="9" scale="51"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AJ329"/>
  <sheetViews>
    <sheetView topLeftCell="E1" workbookViewId="0">
      <selection activeCell="A2" sqref="A2:T2"/>
    </sheetView>
  </sheetViews>
  <sheetFormatPr defaultColWidth="8.6328125" defaultRowHeight="12.5" x14ac:dyDescent="0.25"/>
  <cols>
    <col min="1" max="1" width="14.6328125" style="985" customWidth="1"/>
    <col min="2" max="2" width="32.6328125" style="1006" bestFit="1" customWidth="1"/>
    <col min="3" max="3" width="23.08984375" style="985" customWidth="1"/>
    <col min="4" max="4" width="19.6328125" style="985" customWidth="1"/>
    <col min="5" max="5" width="19" style="985" customWidth="1"/>
    <col min="6" max="14" width="22.36328125" style="985" customWidth="1"/>
    <col min="15" max="15" width="23.453125" style="985" customWidth="1"/>
    <col min="16" max="33" width="22.36328125" style="985" customWidth="1"/>
    <col min="34" max="34" width="9.36328125" style="985" bestFit="1" customWidth="1"/>
    <col min="35" max="35" width="25.6328125" style="985" customWidth="1"/>
    <col min="36" max="36" width="22.36328125" style="985" customWidth="1"/>
    <col min="37" max="16384" width="8.6328125" style="985"/>
  </cols>
  <sheetData>
    <row r="2" spans="1:33" ht="14.15" customHeight="1" x14ac:dyDescent="0.25">
      <c r="A2" s="1868" t="s">
        <v>779</v>
      </c>
      <c r="B2" s="1796"/>
      <c r="C2" s="1796"/>
      <c r="D2" s="1796"/>
      <c r="E2" s="1796"/>
      <c r="F2" s="1796"/>
      <c r="G2" s="1796"/>
      <c r="H2" s="1796"/>
      <c r="I2" s="1796"/>
      <c r="J2" s="1796"/>
      <c r="K2" s="1796"/>
      <c r="L2" s="1796"/>
      <c r="M2" s="1796"/>
      <c r="N2" s="1796"/>
      <c r="O2" s="1796"/>
      <c r="P2" s="1796"/>
      <c r="Q2" s="1796"/>
      <c r="R2" s="1796"/>
      <c r="S2" s="1796"/>
      <c r="T2" s="1796"/>
    </row>
    <row r="3" spans="1:33" ht="14.15" customHeight="1" x14ac:dyDescent="0.25">
      <c r="A3" s="1868" t="s">
        <v>1150</v>
      </c>
      <c r="B3" s="1796"/>
      <c r="C3" s="1796"/>
      <c r="D3" s="1796"/>
      <c r="E3" s="1796"/>
      <c r="F3" s="1796"/>
      <c r="G3" s="1796"/>
      <c r="H3" s="1796"/>
      <c r="I3" s="1796"/>
      <c r="J3" s="1796"/>
      <c r="K3" s="1796"/>
      <c r="L3" s="1796"/>
      <c r="M3" s="1796"/>
      <c r="N3" s="1796"/>
      <c r="O3" s="1796"/>
      <c r="P3" s="1796"/>
      <c r="Q3" s="1796"/>
      <c r="R3" s="1796"/>
      <c r="S3" s="1796"/>
      <c r="T3" s="1796"/>
    </row>
    <row r="4" spans="1:33" ht="14.15" customHeight="1" x14ac:dyDescent="0.25">
      <c r="A4" s="1890" t="s">
        <v>1531</v>
      </c>
      <c r="B4" s="1797"/>
      <c r="C4" s="1797"/>
      <c r="D4" s="1797"/>
      <c r="E4" s="1797"/>
      <c r="F4" s="1797"/>
      <c r="G4" s="1797"/>
      <c r="H4" s="1797"/>
      <c r="I4" s="1797"/>
      <c r="J4" s="1797"/>
      <c r="K4" s="1797"/>
      <c r="L4" s="1797"/>
      <c r="M4" s="1797"/>
      <c r="N4" s="1797"/>
      <c r="O4" s="1797"/>
      <c r="P4" s="1797"/>
      <c r="Q4" s="1797"/>
      <c r="R4" s="1797"/>
      <c r="S4" s="1797"/>
      <c r="T4" s="1797"/>
    </row>
    <row r="5" spans="1:33" ht="13" x14ac:dyDescent="0.3">
      <c r="B5" s="986" t="s">
        <v>511</v>
      </c>
      <c r="F5" s="987" t="s">
        <v>10</v>
      </c>
    </row>
    <row r="6" spans="1:33" ht="26.15" customHeight="1" x14ac:dyDescent="0.35">
      <c r="A6" s="988"/>
      <c r="B6" s="1891" t="s">
        <v>413</v>
      </c>
      <c r="C6" s="1885" t="s">
        <v>742</v>
      </c>
      <c r="D6" s="1885" t="s">
        <v>513</v>
      </c>
      <c r="E6" s="1885" t="s">
        <v>583</v>
      </c>
      <c r="F6" s="1887" t="s">
        <v>584</v>
      </c>
      <c r="G6" s="1888"/>
      <c r="H6" s="1888"/>
      <c r="I6" s="1888"/>
      <c r="J6" s="1888"/>
      <c r="K6" s="1888"/>
      <c r="L6" s="1888"/>
      <c r="M6" s="1888"/>
      <c r="N6" s="1888"/>
      <c r="O6" s="1888"/>
      <c r="P6" s="1888"/>
      <c r="Q6" s="1888"/>
      <c r="R6" s="1888"/>
      <c r="S6" s="1888"/>
      <c r="T6" s="1888"/>
      <c r="U6" s="1888"/>
      <c r="V6" s="1888"/>
      <c r="W6" s="1888"/>
      <c r="X6" s="1888"/>
      <c r="Y6" s="1888"/>
      <c r="Z6" s="1888"/>
      <c r="AA6" s="1888"/>
      <c r="AB6" s="1888"/>
      <c r="AC6" s="1888"/>
      <c r="AD6" s="1889"/>
      <c r="AE6" s="989" t="s">
        <v>535</v>
      </c>
      <c r="AF6" s="989" t="s">
        <v>528</v>
      </c>
      <c r="AG6" s="989" t="s">
        <v>536</v>
      </c>
    </row>
    <row r="7" spans="1:33" ht="12.9" customHeight="1" x14ac:dyDescent="0.25">
      <c r="A7" s="988"/>
      <c r="B7" s="1892"/>
      <c r="C7" s="1886"/>
      <c r="D7" s="1886"/>
      <c r="E7" s="1886"/>
      <c r="F7" s="990" t="s">
        <v>514</v>
      </c>
      <c r="G7" s="990" t="s">
        <v>515</v>
      </c>
      <c r="H7" s="990" t="s">
        <v>516</v>
      </c>
      <c r="I7" s="990" t="s">
        <v>517</v>
      </c>
      <c r="J7" s="990" t="s">
        <v>518</v>
      </c>
      <c r="K7" s="990" t="s">
        <v>519</v>
      </c>
      <c r="L7" s="990" t="s">
        <v>520</v>
      </c>
      <c r="M7" s="990" t="s">
        <v>521</v>
      </c>
      <c r="N7" s="990" t="s">
        <v>522</v>
      </c>
      <c r="O7" s="990" t="s">
        <v>523</v>
      </c>
      <c r="P7" s="990" t="s">
        <v>524</v>
      </c>
      <c r="Q7" s="990" t="s">
        <v>525</v>
      </c>
      <c r="R7" s="990" t="s">
        <v>526</v>
      </c>
      <c r="S7" s="990" t="s">
        <v>527</v>
      </c>
      <c r="T7" s="990" t="s">
        <v>325</v>
      </c>
      <c r="U7" s="990" t="s">
        <v>503</v>
      </c>
      <c r="V7" s="990" t="s">
        <v>504</v>
      </c>
      <c r="W7" s="990" t="s">
        <v>505</v>
      </c>
      <c r="X7" s="990" t="s">
        <v>506</v>
      </c>
      <c r="Y7" s="990" t="s">
        <v>507</v>
      </c>
      <c r="Z7" s="990" t="s">
        <v>1067</v>
      </c>
      <c r="AA7" s="990" t="s">
        <v>1068</v>
      </c>
      <c r="AB7" s="990" t="s">
        <v>1069</v>
      </c>
      <c r="AC7" s="990" t="s">
        <v>1070</v>
      </c>
      <c r="AD7" s="990" t="s">
        <v>1071</v>
      </c>
      <c r="AE7" s="989"/>
      <c r="AF7" s="989"/>
      <c r="AG7" s="989"/>
    </row>
    <row r="8" spans="1:33" x14ac:dyDescent="0.25">
      <c r="A8" s="991" t="s">
        <v>529</v>
      </c>
      <c r="B8" s="992">
        <v>2005</v>
      </c>
      <c r="C8" s="993"/>
      <c r="D8" s="241"/>
      <c r="E8" s="241"/>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41"/>
      <c r="AF8" s="241"/>
      <c r="AG8" s="241"/>
    </row>
    <row r="9" spans="1:33" x14ac:dyDescent="0.25">
      <c r="A9" s="991" t="s">
        <v>530</v>
      </c>
      <c r="B9" s="992" t="s">
        <v>514</v>
      </c>
      <c r="C9" s="991"/>
      <c r="D9" s="241"/>
      <c r="E9" s="241"/>
      <c r="F9" s="243"/>
      <c r="G9" s="252"/>
      <c r="H9" s="252"/>
      <c r="I9" s="252"/>
      <c r="J9" s="252"/>
      <c r="K9" s="252"/>
      <c r="L9" s="252"/>
      <c r="M9" s="252"/>
      <c r="N9" s="252"/>
      <c r="O9" s="252"/>
      <c r="P9" s="252"/>
      <c r="Q9" s="252"/>
      <c r="R9" s="252"/>
      <c r="S9" s="252"/>
      <c r="T9" s="252"/>
      <c r="U9" s="252"/>
      <c r="V9" s="252"/>
      <c r="W9" s="252"/>
      <c r="X9" s="252"/>
      <c r="Y9" s="252"/>
      <c r="Z9" s="252"/>
      <c r="AA9" s="252"/>
      <c r="AB9" s="252"/>
      <c r="AC9" s="252"/>
      <c r="AD9" s="252"/>
      <c r="AE9" s="241"/>
      <c r="AF9" s="241"/>
      <c r="AG9" s="241"/>
    </row>
    <row r="10" spans="1:33" x14ac:dyDescent="0.25">
      <c r="A10" s="991" t="s">
        <v>530</v>
      </c>
      <c r="B10" s="992" t="s">
        <v>515</v>
      </c>
      <c r="C10" s="991"/>
      <c r="D10" s="241"/>
      <c r="E10" s="241"/>
      <c r="F10" s="253"/>
      <c r="G10" s="243"/>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41"/>
      <c r="AF10" s="241"/>
      <c r="AG10" s="241"/>
    </row>
    <row r="11" spans="1:33" x14ac:dyDescent="0.25">
      <c r="A11" s="991" t="s">
        <v>530</v>
      </c>
      <c r="B11" s="992" t="s">
        <v>516</v>
      </c>
      <c r="C11" s="991"/>
      <c r="D11" s="241"/>
      <c r="E11" s="241"/>
      <c r="F11" s="253"/>
      <c r="G11" s="253"/>
      <c r="H11" s="243"/>
      <c r="I11" s="252"/>
      <c r="J11" s="252"/>
      <c r="K11" s="252"/>
      <c r="L11" s="252"/>
      <c r="M11" s="252"/>
      <c r="N11" s="252"/>
      <c r="O11" s="252"/>
      <c r="P11" s="252"/>
      <c r="Q11" s="252"/>
      <c r="R11" s="252"/>
      <c r="S11" s="252"/>
      <c r="T11" s="252"/>
      <c r="U11" s="252"/>
      <c r="V11" s="252"/>
      <c r="W11" s="252"/>
      <c r="X11" s="252"/>
      <c r="Y11" s="252"/>
      <c r="Z11" s="252"/>
      <c r="AA11" s="252"/>
      <c r="AB11" s="252"/>
      <c r="AC11" s="252"/>
      <c r="AD11" s="252"/>
      <c r="AE11" s="241"/>
      <c r="AF11" s="241"/>
      <c r="AG11" s="241"/>
    </row>
    <row r="12" spans="1:33" x14ac:dyDescent="0.25">
      <c r="A12" s="991" t="s">
        <v>530</v>
      </c>
      <c r="B12" s="992" t="s">
        <v>517</v>
      </c>
      <c r="C12" s="991"/>
      <c r="D12" s="241"/>
      <c r="E12" s="241"/>
      <c r="F12" s="253"/>
      <c r="G12" s="253"/>
      <c r="H12" s="253"/>
      <c r="I12" s="243"/>
      <c r="J12" s="252"/>
      <c r="K12" s="252"/>
      <c r="L12" s="252"/>
      <c r="M12" s="252"/>
      <c r="N12" s="252"/>
      <c r="O12" s="252"/>
      <c r="P12" s="252"/>
      <c r="Q12" s="252"/>
      <c r="R12" s="252"/>
      <c r="S12" s="252"/>
      <c r="T12" s="252"/>
      <c r="U12" s="252"/>
      <c r="V12" s="252"/>
      <c r="W12" s="252"/>
      <c r="X12" s="252"/>
      <c r="Y12" s="252"/>
      <c r="Z12" s="252"/>
      <c r="AA12" s="252"/>
      <c r="AB12" s="252"/>
      <c r="AC12" s="252"/>
      <c r="AD12" s="252"/>
      <c r="AE12" s="241"/>
      <c r="AF12" s="241"/>
      <c r="AG12" s="241"/>
    </row>
    <row r="13" spans="1:33" x14ac:dyDescent="0.25">
      <c r="A13" s="991" t="s">
        <v>530</v>
      </c>
      <c r="B13" s="992" t="s">
        <v>518</v>
      </c>
      <c r="C13" s="991"/>
      <c r="D13" s="241"/>
      <c r="E13" s="241"/>
      <c r="F13" s="253"/>
      <c r="G13" s="253"/>
      <c r="H13" s="253"/>
      <c r="I13" s="253"/>
      <c r="J13" s="243"/>
      <c r="K13" s="252"/>
      <c r="L13" s="252"/>
      <c r="M13" s="252"/>
      <c r="N13" s="252"/>
      <c r="O13" s="252"/>
      <c r="P13" s="252"/>
      <c r="Q13" s="252"/>
      <c r="R13" s="252"/>
      <c r="S13" s="252"/>
      <c r="T13" s="252"/>
      <c r="U13" s="252"/>
      <c r="V13" s="252"/>
      <c r="W13" s="252"/>
      <c r="X13" s="252"/>
      <c r="Y13" s="252"/>
      <c r="Z13" s="252"/>
      <c r="AA13" s="252"/>
      <c r="AB13" s="252"/>
      <c r="AC13" s="252"/>
      <c r="AD13" s="252"/>
      <c r="AE13" s="241"/>
      <c r="AF13" s="241"/>
      <c r="AG13" s="241"/>
    </row>
    <row r="14" spans="1:33" x14ac:dyDescent="0.25">
      <c r="A14" s="991" t="s">
        <v>530</v>
      </c>
      <c r="B14" s="992" t="s">
        <v>519</v>
      </c>
      <c r="C14" s="991"/>
      <c r="D14" s="241"/>
      <c r="E14" s="241"/>
      <c r="F14" s="253"/>
      <c r="G14" s="253"/>
      <c r="H14" s="253"/>
      <c r="I14" s="253"/>
      <c r="J14" s="253"/>
      <c r="K14" s="243"/>
      <c r="L14" s="252"/>
      <c r="M14" s="252"/>
      <c r="N14" s="252"/>
      <c r="O14" s="252"/>
      <c r="P14" s="252"/>
      <c r="Q14" s="252"/>
      <c r="R14" s="252"/>
      <c r="S14" s="252"/>
      <c r="T14" s="252"/>
      <c r="U14" s="252"/>
      <c r="V14" s="252"/>
      <c r="W14" s="252"/>
      <c r="X14" s="252"/>
      <c r="Y14" s="252"/>
      <c r="Z14" s="252"/>
      <c r="AA14" s="252"/>
      <c r="AB14" s="252"/>
      <c r="AC14" s="252"/>
      <c r="AD14" s="252"/>
      <c r="AE14" s="241"/>
      <c r="AF14" s="241"/>
      <c r="AG14" s="241"/>
    </row>
    <row r="15" spans="1:33" x14ac:dyDescent="0.25">
      <c r="A15" s="991" t="s">
        <v>530</v>
      </c>
      <c r="B15" s="992" t="s">
        <v>520</v>
      </c>
      <c r="C15" s="991"/>
      <c r="D15" s="241"/>
      <c r="E15" s="241"/>
      <c r="F15" s="253"/>
      <c r="G15" s="253"/>
      <c r="H15" s="253"/>
      <c r="I15" s="253"/>
      <c r="J15" s="253"/>
      <c r="K15" s="253"/>
      <c r="L15" s="243"/>
      <c r="M15" s="252"/>
      <c r="N15" s="252"/>
      <c r="O15" s="252"/>
      <c r="P15" s="252"/>
      <c r="Q15" s="252"/>
      <c r="R15" s="252"/>
      <c r="S15" s="252"/>
      <c r="T15" s="252"/>
      <c r="U15" s="252"/>
      <c r="V15" s="252"/>
      <c r="W15" s="252"/>
      <c r="X15" s="252"/>
      <c r="Y15" s="252"/>
      <c r="Z15" s="252"/>
      <c r="AA15" s="252"/>
      <c r="AB15" s="252"/>
      <c r="AC15" s="252"/>
      <c r="AD15" s="252"/>
      <c r="AE15" s="241"/>
      <c r="AF15" s="241"/>
      <c r="AG15" s="241"/>
    </row>
    <row r="16" spans="1:33" x14ac:dyDescent="0.25">
      <c r="A16" s="991" t="s">
        <v>530</v>
      </c>
      <c r="B16" s="992" t="s">
        <v>521</v>
      </c>
      <c r="C16" s="991"/>
      <c r="D16" s="241"/>
      <c r="E16" s="241"/>
      <c r="F16" s="253"/>
      <c r="G16" s="253"/>
      <c r="H16" s="253"/>
      <c r="I16" s="253"/>
      <c r="J16" s="253"/>
      <c r="K16" s="253"/>
      <c r="L16" s="253"/>
      <c r="M16" s="243"/>
      <c r="N16" s="252"/>
      <c r="O16" s="252"/>
      <c r="P16" s="252"/>
      <c r="Q16" s="252"/>
      <c r="R16" s="252"/>
      <c r="S16" s="252"/>
      <c r="T16" s="252"/>
      <c r="U16" s="252"/>
      <c r="V16" s="252"/>
      <c r="W16" s="252"/>
      <c r="X16" s="252"/>
      <c r="Y16" s="252"/>
      <c r="Z16" s="252"/>
      <c r="AA16" s="252"/>
      <c r="AB16" s="252"/>
      <c r="AC16" s="252"/>
      <c r="AD16" s="252"/>
      <c r="AE16" s="241"/>
      <c r="AF16" s="241"/>
      <c r="AG16" s="241"/>
    </row>
    <row r="17" spans="1:33" x14ac:dyDescent="0.25">
      <c r="A17" s="991" t="s">
        <v>530</v>
      </c>
      <c r="B17" s="992" t="s">
        <v>522</v>
      </c>
      <c r="C17" s="991"/>
      <c r="D17" s="241"/>
      <c r="E17" s="241"/>
      <c r="F17" s="253"/>
      <c r="G17" s="253"/>
      <c r="H17" s="253"/>
      <c r="I17" s="253"/>
      <c r="J17" s="253"/>
      <c r="K17" s="253"/>
      <c r="L17" s="253"/>
      <c r="M17" s="253"/>
      <c r="N17" s="243"/>
      <c r="O17" s="252"/>
      <c r="P17" s="252"/>
      <c r="Q17" s="252"/>
      <c r="R17" s="252"/>
      <c r="S17" s="252"/>
      <c r="T17" s="252"/>
      <c r="U17" s="252"/>
      <c r="V17" s="252"/>
      <c r="W17" s="252"/>
      <c r="X17" s="252"/>
      <c r="Y17" s="252"/>
      <c r="Z17" s="252"/>
      <c r="AA17" s="252"/>
      <c r="AB17" s="252"/>
      <c r="AC17" s="252"/>
      <c r="AD17" s="252"/>
      <c r="AE17" s="241"/>
      <c r="AF17" s="241"/>
      <c r="AG17" s="241"/>
    </row>
    <row r="18" spans="1:33" x14ac:dyDescent="0.25">
      <c r="A18" s="991" t="s">
        <v>530</v>
      </c>
      <c r="B18" s="992" t="s">
        <v>523</v>
      </c>
      <c r="C18" s="241"/>
      <c r="D18" s="241"/>
      <c r="E18" s="241"/>
      <c r="F18" s="253"/>
      <c r="G18" s="253"/>
      <c r="H18" s="253"/>
      <c r="I18" s="253"/>
      <c r="J18" s="253"/>
      <c r="K18" s="253"/>
      <c r="L18" s="253"/>
      <c r="M18" s="253"/>
      <c r="N18" s="253"/>
      <c r="O18" s="243"/>
      <c r="P18" s="252"/>
      <c r="Q18" s="252"/>
      <c r="R18" s="252"/>
      <c r="S18" s="252"/>
      <c r="T18" s="252"/>
      <c r="U18" s="252"/>
      <c r="V18" s="252"/>
      <c r="W18" s="252"/>
      <c r="X18" s="252"/>
      <c r="Y18" s="252"/>
      <c r="Z18" s="252"/>
      <c r="AA18" s="252"/>
      <c r="AB18" s="252"/>
      <c r="AC18" s="252"/>
      <c r="AD18" s="252"/>
      <c r="AE18" s="241"/>
      <c r="AF18" s="241"/>
      <c r="AG18" s="241"/>
    </row>
    <row r="19" spans="1:33" x14ac:dyDescent="0.25">
      <c r="A19" s="991" t="s">
        <v>530</v>
      </c>
      <c r="B19" s="992" t="s">
        <v>524</v>
      </c>
      <c r="C19" s="241"/>
      <c r="D19" s="241"/>
      <c r="E19" s="241"/>
      <c r="F19" s="253"/>
      <c r="G19" s="253"/>
      <c r="H19" s="253"/>
      <c r="I19" s="253"/>
      <c r="J19" s="253"/>
      <c r="K19" s="253"/>
      <c r="L19" s="253"/>
      <c r="M19" s="253"/>
      <c r="N19" s="253"/>
      <c r="O19" s="253"/>
      <c r="P19" s="243"/>
      <c r="Q19" s="252"/>
      <c r="R19" s="252"/>
      <c r="S19" s="252"/>
      <c r="T19" s="252"/>
      <c r="U19" s="252"/>
      <c r="V19" s="252"/>
      <c r="W19" s="252"/>
      <c r="X19" s="252"/>
      <c r="Y19" s="252"/>
      <c r="Z19" s="252"/>
      <c r="AA19" s="252"/>
      <c r="AB19" s="252"/>
      <c r="AC19" s="252"/>
      <c r="AD19" s="252"/>
      <c r="AE19" s="241"/>
      <c r="AF19" s="241"/>
      <c r="AG19" s="241"/>
    </row>
    <row r="20" spans="1:33" x14ac:dyDescent="0.25">
      <c r="A20" s="991" t="s">
        <v>530</v>
      </c>
      <c r="B20" s="992" t="s">
        <v>525</v>
      </c>
      <c r="C20" s="241"/>
      <c r="D20" s="241"/>
      <c r="E20" s="241"/>
      <c r="F20" s="253"/>
      <c r="G20" s="253"/>
      <c r="H20" s="253"/>
      <c r="I20" s="253"/>
      <c r="J20" s="253"/>
      <c r="K20" s="253"/>
      <c r="L20" s="253"/>
      <c r="M20" s="253"/>
      <c r="N20" s="253"/>
      <c r="O20" s="253"/>
      <c r="P20" s="253"/>
      <c r="Q20" s="243"/>
      <c r="R20" s="252"/>
      <c r="S20" s="252"/>
      <c r="T20" s="252"/>
      <c r="U20" s="252"/>
      <c r="V20" s="252"/>
      <c r="W20" s="252"/>
      <c r="X20" s="252"/>
      <c r="Y20" s="252"/>
      <c r="Z20" s="252"/>
      <c r="AA20" s="252"/>
      <c r="AB20" s="252"/>
      <c r="AC20" s="252"/>
      <c r="AD20" s="252"/>
      <c r="AE20" s="241"/>
      <c r="AF20" s="241"/>
      <c r="AG20" s="241"/>
    </row>
    <row r="21" spans="1:33" x14ac:dyDescent="0.25">
      <c r="A21" s="991" t="s">
        <v>530</v>
      </c>
      <c r="B21" s="992" t="s">
        <v>526</v>
      </c>
      <c r="C21" s="241"/>
      <c r="D21" s="241"/>
      <c r="E21" s="241"/>
      <c r="F21" s="253"/>
      <c r="G21" s="253"/>
      <c r="H21" s="253"/>
      <c r="I21" s="253"/>
      <c r="J21" s="253"/>
      <c r="K21" s="253"/>
      <c r="L21" s="253"/>
      <c r="M21" s="253"/>
      <c r="N21" s="253"/>
      <c r="O21" s="253"/>
      <c r="P21" s="253"/>
      <c r="Q21" s="253"/>
      <c r="R21" s="243"/>
      <c r="S21" s="252"/>
      <c r="T21" s="252"/>
      <c r="U21" s="252"/>
      <c r="V21" s="252"/>
      <c r="W21" s="252"/>
      <c r="X21" s="252"/>
      <c r="Y21" s="252"/>
      <c r="Z21" s="252"/>
      <c r="AA21" s="252"/>
      <c r="AB21" s="252"/>
      <c r="AC21" s="252"/>
      <c r="AD21" s="252"/>
      <c r="AE21" s="241"/>
      <c r="AF21" s="241"/>
      <c r="AG21" s="241"/>
    </row>
    <row r="22" spans="1:33" x14ac:dyDescent="0.25">
      <c r="A22" s="991" t="s">
        <v>530</v>
      </c>
      <c r="B22" s="992" t="s">
        <v>527</v>
      </c>
      <c r="C22" s="241"/>
      <c r="D22" s="241"/>
      <c r="E22" s="241"/>
      <c r="F22" s="253"/>
      <c r="G22" s="253"/>
      <c r="H22" s="253"/>
      <c r="I22" s="253"/>
      <c r="J22" s="253"/>
      <c r="K22" s="253"/>
      <c r="L22" s="253"/>
      <c r="M22" s="253"/>
      <c r="N22" s="253"/>
      <c r="O22" s="253"/>
      <c r="P22" s="253"/>
      <c r="Q22" s="253"/>
      <c r="R22" s="253"/>
      <c r="S22" s="243"/>
      <c r="T22" s="252"/>
      <c r="U22" s="252"/>
      <c r="V22" s="252"/>
      <c r="W22" s="252"/>
      <c r="X22" s="252"/>
      <c r="Y22" s="252"/>
      <c r="Z22" s="252"/>
      <c r="AA22" s="252"/>
      <c r="AB22" s="252"/>
      <c r="AC22" s="252"/>
      <c r="AD22" s="252"/>
      <c r="AE22" s="241"/>
      <c r="AF22" s="241"/>
      <c r="AG22" s="241"/>
    </row>
    <row r="23" spans="1:33" x14ac:dyDescent="0.25">
      <c r="A23" s="991" t="s">
        <v>530</v>
      </c>
      <c r="B23" s="992" t="s">
        <v>531</v>
      </c>
      <c r="C23" s="241"/>
      <c r="D23" s="241"/>
      <c r="E23" s="241"/>
      <c r="F23" s="253"/>
      <c r="G23" s="253"/>
      <c r="H23" s="253"/>
      <c r="I23" s="253"/>
      <c r="J23" s="253"/>
      <c r="K23" s="253"/>
      <c r="L23" s="253"/>
      <c r="M23" s="253"/>
      <c r="N23" s="253"/>
      <c r="O23" s="253"/>
      <c r="P23" s="253"/>
      <c r="Q23" s="253"/>
      <c r="R23" s="253"/>
      <c r="S23" s="253"/>
      <c r="T23" s="243"/>
      <c r="U23" s="252"/>
      <c r="V23" s="252"/>
      <c r="W23" s="252"/>
      <c r="X23" s="252"/>
      <c r="Y23" s="252"/>
      <c r="Z23" s="252"/>
      <c r="AA23" s="252"/>
      <c r="AB23" s="252"/>
      <c r="AC23" s="252"/>
      <c r="AD23" s="252"/>
      <c r="AE23" s="241"/>
      <c r="AF23" s="241"/>
      <c r="AG23" s="241"/>
    </row>
    <row r="24" spans="1:33" x14ac:dyDescent="0.25">
      <c r="A24" s="991" t="s">
        <v>530</v>
      </c>
      <c r="B24" s="992" t="s">
        <v>532</v>
      </c>
      <c r="C24" s="241"/>
      <c r="D24" s="241"/>
      <c r="E24" s="241"/>
      <c r="F24" s="253"/>
      <c r="G24" s="253"/>
      <c r="H24" s="253"/>
      <c r="I24" s="253"/>
      <c r="J24" s="253"/>
      <c r="K24" s="253"/>
      <c r="L24" s="253"/>
      <c r="M24" s="253"/>
      <c r="N24" s="253"/>
      <c r="O24" s="253"/>
      <c r="P24" s="253"/>
      <c r="Q24" s="253"/>
      <c r="R24" s="253"/>
      <c r="S24" s="253"/>
      <c r="T24" s="253"/>
      <c r="U24" s="243"/>
      <c r="V24" s="252"/>
      <c r="W24" s="252"/>
      <c r="X24" s="252"/>
      <c r="Y24" s="252"/>
      <c r="Z24" s="252"/>
      <c r="AA24" s="252"/>
      <c r="AB24" s="252"/>
      <c r="AC24" s="252"/>
      <c r="AD24" s="252"/>
      <c r="AE24" s="241"/>
      <c r="AF24" s="241"/>
      <c r="AG24" s="241"/>
    </row>
    <row r="25" spans="1:33" x14ac:dyDescent="0.25">
      <c r="A25" s="991" t="s">
        <v>530</v>
      </c>
      <c r="B25" s="992" t="s">
        <v>533</v>
      </c>
      <c r="C25" s="241"/>
      <c r="D25" s="241"/>
      <c r="E25" s="241"/>
      <c r="F25" s="253"/>
      <c r="G25" s="253"/>
      <c r="H25" s="253"/>
      <c r="I25" s="253"/>
      <c r="J25" s="253"/>
      <c r="K25" s="253"/>
      <c r="L25" s="253"/>
      <c r="M25" s="253"/>
      <c r="N25" s="253"/>
      <c r="O25" s="253"/>
      <c r="P25" s="253"/>
      <c r="Q25" s="253"/>
      <c r="R25" s="253"/>
      <c r="S25" s="253"/>
      <c r="T25" s="253"/>
      <c r="U25" s="253"/>
      <c r="V25" s="243"/>
      <c r="W25" s="252"/>
      <c r="X25" s="252"/>
      <c r="Y25" s="252"/>
      <c r="Z25" s="252"/>
      <c r="AA25" s="252"/>
      <c r="AB25" s="252"/>
      <c r="AC25" s="252"/>
      <c r="AD25" s="252"/>
      <c r="AE25" s="241"/>
      <c r="AF25" s="241"/>
      <c r="AG25" s="241"/>
    </row>
    <row r="26" spans="1:33" x14ac:dyDescent="0.25">
      <c r="A26" s="991" t="s">
        <v>530</v>
      </c>
      <c r="B26" s="992" t="s">
        <v>543</v>
      </c>
      <c r="C26" s="241"/>
      <c r="D26" s="241"/>
      <c r="E26" s="241"/>
      <c r="F26" s="253"/>
      <c r="G26" s="253"/>
      <c r="H26" s="253"/>
      <c r="I26" s="253"/>
      <c r="J26" s="253"/>
      <c r="K26" s="253"/>
      <c r="L26" s="253"/>
      <c r="M26" s="253"/>
      <c r="N26" s="253"/>
      <c r="O26" s="253"/>
      <c r="P26" s="253"/>
      <c r="Q26" s="253"/>
      <c r="R26" s="253"/>
      <c r="S26" s="253"/>
      <c r="T26" s="253"/>
      <c r="U26" s="253"/>
      <c r="V26" s="253"/>
      <c r="W26" s="243"/>
      <c r="X26" s="252"/>
      <c r="Y26" s="252"/>
      <c r="Z26" s="252"/>
      <c r="AA26" s="252"/>
      <c r="AB26" s="252"/>
      <c r="AC26" s="252"/>
      <c r="AD26" s="252"/>
      <c r="AE26" s="241"/>
      <c r="AF26" s="241"/>
      <c r="AG26" s="241"/>
    </row>
    <row r="27" spans="1:33" x14ac:dyDescent="0.25">
      <c r="A27" s="991" t="s">
        <v>530</v>
      </c>
      <c r="B27" s="992" t="s">
        <v>544</v>
      </c>
      <c r="C27" s="241"/>
      <c r="D27" s="241"/>
      <c r="E27" s="241"/>
      <c r="F27" s="253"/>
      <c r="G27" s="253"/>
      <c r="H27" s="253"/>
      <c r="I27" s="253"/>
      <c r="J27" s="253"/>
      <c r="K27" s="253"/>
      <c r="L27" s="253"/>
      <c r="M27" s="253"/>
      <c r="N27" s="253"/>
      <c r="O27" s="253"/>
      <c r="P27" s="253"/>
      <c r="Q27" s="253"/>
      <c r="R27" s="253"/>
      <c r="S27" s="253"/>
      <c r="T27" s="253"/>
      <c r="U27" s="253"/>
      <c r="V27" s="253"/>
      <c r="W27" s="253"/>
      <c r="X27" s="243"/>
      <c r="Y27" s="252"/>
      <c r="Z27" s="252"/>
      <c r="AA27" s="252"/>
      <c r="AB27" s="252"/>
      <c r="AC27" s="252"/>
      <c r="AD27" s="252"/>
      <c r="AE27" s="241"/>
      <c r="AF27" s="241"/>
      <c r="AG27" s="241"/>
    </row>
    <row r="28" spans="1:33" x14ac:dyDescent="0.25">
      <c r="A28" s="991" t="s">
        <v>530</v>
      </c>
      <c r="B28" s="992" t="s">
        <v>545</v>
      </c>
      <c r="C28" s="241"/>
      <c r="D28" s="241"/>
      <c r="E28" s="241"/>
      <c r="F28" s="253"/>
      <c r="G28" s="253"/>
      <c r="H28" s="253"/>
      <c r="I28" s="253"/>
      <c r="J28" s="253"/>
      <c r="K28" s="253"/>
      <c r="L28" s="253"/>
      <c r="M28" s="253"/>
      <c r="N28" s="253"/>
      <c r="O28" s="253"/>
      <c r="P28" s="253"/>
      <c r="Q28" s="253"/>
      <c r="R28" s="253"/>
      <c r="S28" s="253"/>
      <c r="T28" s="253"/>
      <c r="U28" s="253"/>
      <c r="V28" s="253"/>
      <c r="W28" s="253"/>
      <c r="X28" s="253"/>
      <c r="Y28" s="243"/>
      <c r="Z28" s="252"/>
      <c r="AA28" s="252"/>
      <c r="AB28" s="252"/>
      <c r="AC28" s="252"/>
      <c r="AD28" s="252"/>
      <c r="AE28" s="241"/>
      <c r="AF28" s="241"/>
      <c r="AG28" s="241"/>
    </row>
    <row r="29" spans="1:33" ht="29.4" customHeight="1" x14ac:dyDescent="0.25">
      <c r="A29" s="991" t="s">
        <v>530</v>
      </c>
      <c r="B29" s="992" t="s">
        <v>1532</v>
      </c>
      <c r="C29" s="994"/>
      <c r="D29" s="241"/>
      <c r="E29" s="241"/>
      <c r="F29" s="253"/>
      <c r="G29" s="253"/>
      <c r="H29" s="253"/>
      <c r="I29" s="253"/>
      <c r="J29" s="253"/>
      <c r="K29" s="253"/>
      <c r="L29" s="253"/>
      <c r="M29" s="253"/>
      <c r="N29" s="253"/>
      <c r="O29" s="253"/>
      <c r="P29" s="253"/>
      <c r="Q29" s="253"/>
      <c r="R29" s="253"/>
      <c r="S29" s="253"/>
      <c r="T29" s="253"/>
      <c r="U29" s="253"/>
      <c r="V29" s="253"/>
      <c r="W29" s="253"/>
      <c r="X29" s="253"/>
      <c r="Y29" s="253"/>
      <c r="Z29" s="243"/>
      <c r="AA29" s="252"/>
      <c r="AB29" s="252"/>
      <c r="AC29" s="252"/>
      <c r="AD29" s="252"/>
      <c r="AE29" s="241"/>
      <c r="AF29" s="241"/>
      <c r="AG29" s="241"/>
    </row>
    <row r="30" spans="1:33" x14ac:dyDescent="0.25">
      <c r="A30" s="991" t="s">
        <v>530</v>
      </c>
      <c r="B30" s="992" t="s">
        <v>1533</v>
      </c>
      <c r="C30" s="241"/>
      <c r="D30" s="241"/>
      <c r="E30" s="241"/>
      <c r="F30" s="253"/>
      <c r="G30" s="253"/>
      <c r="H30" s="253"/>
      <c r="I30" s="253"/>
      <c r="J30" s="253"/>
      <c r="K30" s="253"/>
      <c r="L30" s="253"/>
      <c r="M30" s="253"/>
      <c r="N30" s="253"/>
      <c r="O30" s="253"/>
      <c r="P30" s="253"/>
      <c r="Q30" s="253"/>
      <c r="R30" s="253"/>
      <c r="S30" s="253"/>
      <c r="T30" s="253"/>
      <c r="U30" s="253"/>
      <c r="V30" s="253"/>
      <c r="W30" s="253"/>
      <c r="X30" s="253"/>
      <c r="Y30" s="253"/>
      <c r="Z30" s="253"/>
      <c r="AA30" s="243"/>
      <c r="AB30" s="252"/>
      <c r="AC30" s="252"/>
      <c r="AD30" s="252"/>
      <c r="AE30" s="241"/>
      <c r="AF30" s="241"/>
      <c r="AG30" s="241"/>
    </row>
    <row r="31" spans="1:33" x14ac:dyDescent="0.25">
      <c r="A31" s="991" t="s">
        <v>530</v>
      </c>
      <c r="B31" s="992" t="s">
        <v>1534</v>
      </c>
      <c r="C31" s="241"/>
      <c r="D31" s="241"/>
      <c r="E31" s="241"/>
      <c r="F31" s="253"/>
      <c r="G31" s="253"/>
      <c r="H31" s="253"/>
      <c r="I31" s="253"/>
      <c r="J31" s="253"/>
      <c r="K31" s="253"/>
      <c r="L31" s="253"/>
      <c r="M31" s="253"/>
      <c r="N31" s="253"/>
      <c r="O31" s="253"/>
      <c r="P31" s="253"/>
      <c r="Q31" s="253"/>
      <c r="R31" s="253"/>
      <c r="S31" s="253"/>
      <c r="T31" s="253"/>
      <c r="U31" s="253"/>
      <c r="V31" s="253"/>
      <c r="W31" s="253"/>
      <c r="X31" s="253"/>
      <c r="Y31" s="253"/>
      <c r="Z31" s="253"/>
      <c r="AA31" s="253"/>
      <c r="AB31" s="243"/>
      <c r="AC31" s="252"/>
      <c r="AD31" s="252"/>
      <c r="AE31" s="241"/>
      <c r="AF31" s="241"/>
      <c r="AG31" s="241"/>
    </row>
    <row r="32" spans="1:33" x14ac:dyDescent="0.25">
      <c r="A32" s="991" t="s">
        <v>530</v>
      </c>
      <c r="B32" s="992" t="s">
        <v>1535</v>
      </c>
      <c r="C32" s="241"/>
      <c r="D32" s="241"/>
      <c r="E32" s="241"/>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43"/>
      <c r="AD32" s="252"/>
      <c r="AE32" s="241"/>
      <c r="AF32" s="241"/>
      <c r="AG32" s="241"/>
    </row>
    <row r="33" spans="1:36" x14ac:dyDescent="0.25">
      <c r="A33" s="991" t="s">
        <v>530</v>
      </c>
      <c r="B33" s="992" t="s">
        <v>1536</v>
      </c>
      <c r="C33" s="241"/>
      <c r="D33" s="241"/>
      <c r="E33" s="241"/>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43"/>
      <c r="AE33" s="241"/>
      <c r="AF33" s="241"/>
      <c r="AG33" s="241"/>
    </row>
    <row r="34" spans="1:36" ht="13" x14ac:dyDescent="0.3">
      <c r="A34" s="995"/>
      <c r="B34" s="996" t="s">
        <v>271</v>
      </c>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row>
    <row r="36" spans="1:36" s="998" customFormat="1" ht="13" x14ac:dyDescent="0.3">
      <c r="A36" s="985"/>
      <c r="B36" s="986" t="s">
        <v>534</v>
      </c>
      <c r="C36" s="985"/>
      <c r="D36" s="985"/>
      <c r="E36" s="985"/>
      <c r="F36" s="987" t="s">
        <v>10</v>
      </c>
      <c r="G36" s="985"/>
      <c r="H36" s="997"/>
      <c r="I36" s="985"/>
      <c r="J36" s="997"/>
      <c r="K36" s="997"/>
      <c r="L36" s="985"/>
      <c r="M36" s="985"/>
      <c r="N36" s="985"/>
      <c r="O36" s="985"/>
      <c r="P36" s="985"/>
      <c r="Q36" s="985"/>
      <c r="R36" s="985"/>
      <c r="S36" s="985"/>
      <c r="T36" s="985"/>
      <c r="U36" s="985"/>
      <c r="V36" s="985"/>
      <c r="W36" s="985"/>
      <c r="X36" s="985"/>
      <c r="Y36" s="985"/>
      <c r="Z36" s="985"/>
      <c r="AA36" s="985"/>
      <c r="AB36" s="985"/>
      <c r="AC36" s="985"/>
      <c r="AD36" s="985"/>
      <c r="AE36" s="985"/>
      <c r="AF36" s="985"/>
      <c r="AG36" s="985"/>
      <c r="AI36" s="999"/>
      <c r="AJ36" s="999"/>
    </row>
    <row r="37" spans="1:36" ht="26.15" customHeight="1" x14ac:dyDescent="0.35">
      <c r="A37" s="1000"/>
      <c r="B37" s="1001" t="s">
        <v>413</v>
      </c>
      <c r="C37" s="1885" t="s">
        <v>512</v>
      </c>
      <c r="D37" s="1885" t="s">
        <v>513</v>
      </c>
      <c r="E37" s="1885" t="s">
        <v>583</v>
      </c>
      <c r="F37" s="1887" t="s">
        <v>584</v>
      </c>
      <c r="G37" s="1888"/>
      <c r="H37" s="1888"/>
      <c r="I37" s="1888"/>
      <c r="J37" s="1888"/>
      <c r="K37" s="1888"/>
      <c r="L37" s="1888"/>
      <c r="M37" s="1888"/>
      <c r="N37" s="1888"/>
      <c r="O37" s="1888"/>
      <c r="P37" s="1888"/>
      <c r="Q37" s="1888"/>
      <c r="R37" s="1888"/>
      <c r="S37" s="1888"/>
      <c r="T37" s="1888"/>
      <c r="U37" s="1888"/>
      <c r="V37" s="1888"/>
      <c r="W37" s="1888"/>
      <c r="X37" s="1888"/>
      <c r="Y37" s="1888"/>
      <c r="Z37" s="1888"/>
      <c r="AA37" s="1888"/>
      <c r="AB37" s="1888"/>
      <c r="AC37" s="1888"/>
      <c r="AD37" s="1889"/>
      <c r="AE37" s="989" t="s">
        <v>535</v>
      </c>
      <c r="AF37" s="989" t="s">
        <v>528</v>
      </c>
      <c r="AG37" s="989" t="s">
        <v>536</v>
      </c>
    </row>
    <row r="38" spans="1:36" ht="12.9" customHeight="1" x14ac:dyDescent="0.25">
      <c r="A38" s="1000"/>
      <c r="B38" s="1001"/>
      <c r="C38" s="1886"/>
      <c r="D38" s="1886"/>
      <c r="E38" s="1886"/>
      <c r="F38" s="990" t="s">
        <v>514</v>
      </c>
      <c r="G38" s="990" t="s">
        <v>515</v>
      </c>
      <c r="H38" s="990" t="s">
        <v>516</v>
      </c>
      <c r="I38" s="990" t="s">
        <v>517</v>
      </c>
      <c r="J38" s="990" t="s">
        <v>518</v>
      </c>
      <c r="K38" s="990" t="s">
        <v>519</v>
      </c>
      <c r="L38" s="990" t="s">
        <v>520</v>
      </c>
      <c r="M38" s="990" t="s">
        <v>521</v>
      </c>
      <c r="N38" s="990" t="s">
        <v>522</v>
      </c>
      <c r="O38" s="990" t="s">
        <v>523</v>
      </c>
      <c r="P38" s="990" t="s">
        <v>524</v>
      </c>
      <c r="Q38" s="990" t="s">
        <v>525</v>
      </c>
      <c r="R38" s="990" t="s">
        <v>526</v>
      </c>
      <c r="S38" s="990" t="s">
        <v>527</v>
      </c>
      <c r="T38" s="990" t="s">
        <v>325</v>
      </c>
      <c r="U38" s="990" t="s">
        <v>503</v>
      </c>
      <c r="V38" s="990" t="s">
        <v>504</v>
      </c>
      <c r="W38" s="990" t="s">
        <v>505</v>
      </c>
      <c r="X38" s="990" t="s">
        <v>506</v>
      </c>
      <c r="Y38" s="990" t="s">
        <v>507</v>
      </c>
      <c r="Z38" s="990" t="s">
        <v>1067</v>
      </c>
      <c r="AA38" s="990" t="s">
        <v>1068</v>
      </c>
      <c r="AB38" s="990" t="s">
        <v>1069</v>
      </c>
      <c r="AC38" s="990" t="s">
        <v>1070</v>
      </c>
      <c r="AD38" s="990" t="s">
        <v>1071</v>
      </c>
      <c r="AE38" s="989"/>
      <c r="AF38" s="989"/>
      <c r="AG38" s="989"/>
    </row>
    <row r="39" spans="1:36" x14ac:dyDescent="0.25">
      <c r="A39" s="991" t="s">
        <v>529</v>
      </c>
      <c r="B39" s="992">
        <v>2005</v>
      </c>
      <c r="C39" s="991"/>
      <c r="D39" s="991"/>
      <c r="E39" s="100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41"/>
      <c r="AF39" s="241"/>
      <c r="AG39" s="1003"/>
      <c r="AI39" s="997"/>
    </row>
    <row r="40" spans="1:36" x14ac:dyDescent="0.25">
      <c r="A40" s="991" t="s">
        <v>530</v>
      </c>
      <c r="B40" s="992" t="s">
        <v>514</v>
      </c>
      <c r="C40" s="991"/>
      <c r="D40" s="991"/>
      <c r="E40" s="1002"/>
      <c r="F40" s="243"/>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41"/>
      <c r="AF40" s="241"/>
      <c r="AG40" s="1003"/>
    </row>
    <row r="41" spans="1:36" x14ac:dyDescent="0.25">
      <c r="A41" s="991" t="s">
        <v>530</v>
      </c>
      <c r="B41" s="992" t="s">
        <v>515</v>
      </c>
      <c r="C41" s="991"/>
      <c r="D41" s="991"/>
      <c r="E41" s="1002"/>
      <c r="F41" s="253"/>
      <c r="G41" s="243"/>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41"/>
      <c r="AF41" s="241"/>
      <c r="AG41" s="1003"/>
    </row>
    <row r="42" spans="1:36" x14ac:dyDescent="0.25">
      <c r="A42" s="991" t="s">
        <v>530</v>
      </c>
      <c r="B42" s="992" t="s">
        <v>516</v>
      </c>
      <c r="C42" s="991"/>
      <c r="D42" s="991"/>
      <c r="E42" s="1002"/>
      <c r="F42" s="253"/>
      <c r="G42" s="253"/>
      <c r="H42" s="243"/>
      <c r="I42" s="252"/>
      <c r="J42" s="252"/>
      <c r="K42" s="252"/>
      <c r="L42" s="252"/>
      <c r="M42" s="252"/>
      <c r="N42" s="252"/>
      <c r="O42" s="252"/>
      <c r="P42" s="252"/>
      <c r="Q42" s="252"/>
      <c r="R42" s="252"/>
      <c r="S42" s="252"/>
      <c r="T42" s="252"/>
      <c r="U42" s="252"/>
      <c r="V42" s="252"/>
      <c r="W42" s="252"/>
      <c r="X42" s="252"/>
      <c r="Y42" s="252"/>
      <c r="Z42" s="252"/>
      <c r="AA42" s="252"/>
      <c r="AB42" s="252"/>
      <c r="AC42" s="252"/>
      <c r="AD42" s="252"/>
      <c r="AE42" s="241"/>
      <c r="AF42" s="241"/>
      <c r="AG42" s="1003"/>
    </row>
    <row r="43" spans="1:36" x14ac:dyDescent="0.25">
      <c r="A43" s="991" t="s">
        <v>530</v>
      </c>
      <c r="B43" s="992" t="s">
        <v>517</v>
      </c>
      <c r="C43" s="991"/>
      <c r="D43" s="991"/>
      <c r="E43" s="1002"/>
      <c r="F43" s="253"/>
      <c r="G43" s="253"/>
      <c r="H43" s="253"/>
      <c r="I43" s="243"/>
      <c r="J43" s="252"/>
      <c r="K43" s="252"/>
      <c r="L43" s="252"/>
      <c r="M43" s="252"/>
      <c r="N43" s="252"/>
      <c r="O43" s="252"/>
      <c r="P43" s="252"/>
      <c r="Q43" s="252"/>
      <c r="R43" s="252"/>
      <c r="S43" s="252"/>
      <c r="T43" s="252"/>
      <c r="U43" s="252"/>
      <c r="V43" s="252"/>
      <c r="W43" s="252"/>
      <c r="X43" s="252"/>
      <c r="Y43" s="252"/>
      <c r="Z43" s="252"/>
      <c r="AA43" s="252"/>
      <c r="AB43" s="252"/>
      <c r="AC43" s="252"/>
      <c r="AD43" s="252"/>
      <c r="AE43" s="241"/>
      <c r="AF43" s="241"/>
      <c r="AG43" s="1003"/>
    </row>
    <row r="44" spans="1:36" x14ac:dyDescent="0.25">
      <c r="A44" s="991" t="s">
        <v>530</v>
      </c>
      <c r="B44" s="992" t="s">
        <v>518</v>
      </c>
      <c r="C44" s="991"/>
      <c r="D44" s="991"/>
      <c r="E44" s="1002"/>
      <c r="F44" s="253"/>
      <c r="G44" s="253"/>
      <c r="H44" s="253"/>
      <c r="I44" s="253"/>
      <c r="J44" s="243"/>
      <c r="K44" s="252"/>
      <c r="L44" s="252"/>
      <c r="M44" s="252"/>
      <c r="N44" s="252"/>
      <c r="O44" s="252"/>
      <c r="P44" s="252"/>
      <c r="Q44" s="252"/>
      <c r="R44" s="252"/>
      <c r="S44" s="252"/>
      <c r="T44" s="252"/>
      <c r="U44" s="252"/>
      <c r="V44" s="252"/>
      <c r="W44" s="252"/>
      <c r="X44" s="252"/>
      <c r="Y44" s="252"/>
      <c r="Z44" s="252"/>
      <c r="AA44" s="252"/>
      <c r="AB44" s="252"/>
      <c r="AC44" s="252"/>
      <c r="AD44" s="252"/>
      <c r="AE44" s="241"/>
      <c r="AF44" s="241"/>
      <c r="AG44" s="1003"/>
    </row>
    <row r="45" spans="1:36" x14ac:dyDescent="0.25">
      <c r="A45" s="991" t="s">
        <v>530</v>
      </c>
      <c r="B45" s="992" t="s">
        <v>519</v>
      </c>
      <c r="C45" s="991"/>
      <c r="D45" s="991"/>
      <c r="E45" s="1002"/>
      <c r="F45" s="253"/>
      <c r="G45" s="253"/>
      <c r="H45" s="253"/>
      <c r="I45" s="253"/>
      <c r="J45" s="253"/>
      <c r="K45" s="243"/>
      <c r="L45" s="252"/>
      <c r="M45" s="252"/>
      <c r="N45" s="252"/>
      <c r="O45" s="252"/>
      <c r="P45" s="252"/>
      <c r="Q45" s="252"/>
      <c r="R45" s="252"/>
      <c r="S45" s="252"/>
      <c r="T45" s="252"/>
      <c r="U45" s="252"/>
      <c r="V45" s="252"/>
      <c r="W45" s="252"/>
      <c r="X45" s="252"/>
      <c r="Y45" s="252"/>
      <c r="Z45" s="252"/>
      <c r="AA45" s="252"/>
      <c r="AB45" s="252"/>
      <c r="AC45" s="252"/>
      <c r="AD45" s="252"/>
      <c r="AE45" s="241"/>
      <c r="AF45" s="241"/>
      <c r="AG45" s="1003"/>
    </row>
    <row r="46" spans="1:36" x14ac:dyDescent="0.25">
      <c r="A46" s="991" t="s">
        <v>530</v>
      </c>
      <c r="B46" s="992" t="s">
        <v>520</v>
      </c>
      <c r="C46" s="991"/>
      <c r="D46" s="991"/>
      <c r="E46" s="1002"/>
      <c r="F46" s="253"/>
      <c r="G46" s="253"/>
      <c r="H46" s="253"/>
      <c r="I46" s="253"/>
      <c r="J46" s="253"/>
      <c r="K46" s="253"/>
      <c r="L46" s="243"/>
      <c r="M46" s="252"/>
      <c r="N46" s="252"/>
      <c r="O46" s="252"/>
      <c r="P46" s="252"/>
      <c r="Q46" s="252"/>
      <c r="R46" s="252"/>
      <c r="S46" s="252"/>
      <c r="T46" s="252"/>
      <c r="U46" s="252"/>
      <c r="V46" s="252"/>
      <c r="W46" s="252"/>
      <c r="X46" s="252"/>
      <c r="Y46" s="252"/>
      <c r="Z46" s="252"/>
      <c r="AA46" s="252"/>
      <c r="AB46" s="252"/>
      <c r="AC46" s="252"/>
      <c r="AD46" s="252"/>
      <c r="AE46" s="241"/>
      <c r="AF46" s="241"/>
      <c r="AG46" s="1003"/>
    </row>
    <row r="47" spans="1:36" x14ac:dyDescent="0.25">
      <c r="A47" s="991" t="s">
        <v>530</v>
      </c>
      <c r="B47" s="992" t="s">
        <v>521</v>
      </c>
      <c r="C47" s="991"/>
      <c r="D47" s="991"/>
      <c r="E47" s="1002"/>
      <c r="F47" s="253"/>
      <c r="G47" s="253"/>
      <c r="H47" s="253"/>
      <c r="I47" s="253"/>
      <c r="J47" s="253"/>
      <c r="K47" s="253"/>
      <c r="L47" s="253"/>
      <c r="M47" s="243"/>
      <c r="N47" s="252"/>
      <c r="O47" s="252"/>
      <c r="P47" s="252"/>
      <c r="Q47" s="252"/>
      <c r="R47" s="252"/>
      <c r="S47" s="252"/>
      <c r="T47" s="252"/>
      <c r="U47" s="252"/>
      <c r="V47" s="252"/>
      <c r="W47" s="252"/>
      <c r="X47" s="252"/>
      <c r="Y47" s="252"/>
      <c r="Z47" s="252"/>
      <c r="AA47" s="252"/>
      <c r="AB47" s="252"/>
      <c r="AC47" s="252"/>
      <c r="AD47" s="252"/>
      <c r="AE47" s="241"/>
      <c r="AF47" s="241"/>
      <c r="AG47" s="1003"/>
    </row>
    <row r="48" spans="1:36" x14ac:dyDescent="0.25">
      <c r="A48" s="991" t="s">
        <v>530</v>
      </c>
      <c r="B48" s="992" t="s">
        <v>522</v>
      </c>
      <c r="C48" s="991"/>
      <c r="D48" s="991"/>
      <c r="E48" s="1002"/>
      <c r="F48" s="253"/>
      <c r="G48" s="253"/>
      <c r="H48" s="253"/>
      <c r="I48" s="253"/>
      <c r="J48" s="253"/>
      <c r="K48" s="253"/>
      <c r="L48" s="253"/>
      <c r="M48" s="253"/>
      <c r="N48" s="243"/>
      <c r="O48" s="252"/>
      <c r="P48" s="252"/>
      <c r="Q48" s="252"/>
      <c r="R48" s="252"/>
      <c r="S48" s="252"/>
      <c r="T48" s="252"/>
      <c r="U48" s="252"/>
      <c r="V48" s="252"/>
      <c r="W48" s="252"/>
      <c r="X48" s="252"/>
      <c r="Y48" s="252"/>
      <c r="Z48" s="252"/>
      <c r="AA48" s="252"/>
      <c r="AB48" s="252"/>
      <c r="AC48" s="252"/>
      <c r="AD48" s="252"/>
      <c r="AE48" s="241"/>
      <c r="AF48" s="241"/>
      <c r="AG48" s="1003"/>
    </row>
    <row r="49" spans="1:33" x14ac:dyDescent="0.25">
      <c r="A49" s="991" t="s">
        <v>530</v>
      </c>
      <c r="B49" s="992" t="s">
        <v>523</v>
      </c>
      <c r="C49" s="241"/>
      <c r="D49" s="991"/>
      <c r="E49" s="1002"/>
      <c r="F49" s="253"/>
      <c r="G49" s="253"/>
      <c r="H49" s="253"/>
      <c r="I49" s="253"/>
      <c r="J49" s="253"/>
      <c r="K49" s="253"/>
      <c r="L49" s="253"/>
      <c r="M49" s="253"/>
      <c r="N49" s="253"/>
      <c r="O49" s="243"/>
      <c r="P49" s="252"/>
      <c r="Q49" s="252"/>
      <c r="R49" s="252"/>
      <c r="S49" s="252"/>
      <c r="T49" s="252"/>
      <c r="U49" s="252"/>
      <c r="V49" s="252"/>
      <c r="W49" s="252"/>
      <c r="X49" s="252"/>
      <c r="Y49" s="252"/>
      <c r="Z49" s="252"/>
      <c r="AA49" s="252"/>
      <c r="AB49" s="252"/>
      <c r="AC49" s="252"/>
      <c r="AD49" s="252"/>
      <c r="AE49" s="241"/>
      <c r="AF49" s="241"/>
      <c r="AG49" s="1003"/>
    </row>
    <row r="50" spans="1:33" x14ac:dyDescent="0.25">
      <c r="A50" s="991" t="s">
        <v>530</v>
      </c>
      <c r="B50" s="992" t="s">
        <v>524</v>
      </c>
      <c r="C50" s="241"/>
      <c r="D50" s="991"/>
      <c r="E50" s="1002"/>
      <c r="F50" s="253"/>
      <c r="G50" s="253"/>
      <c r="H50" s="253"/>
      <c r="I50" s="253"/>
      <c r="J50" s="253"/>
      <c r="K50" s="253"/>
      <c r="L50" s="253"/>
      <c r="M50" s="253"/>
      <c r="N50" s="253"/>
      <c r="O50" s="253"/>
      <c r="P50" s="243"/>
      <c r="Q50" s="252"/>
      <c r="R50" s="252"/>
      <c r="S50" s="252"/>
      <c r="T50" s="252"/>
      <c r="U50" s="252"/>
      <c r="V50" s="252"/>
      <c r="W50" s="252"/>
      <c r="X50" s="252"/>
      <c r="Y50" s="252"/>
      <c r="Z50" s="252"/>
      <c r="AA50" s="252"/>
      <c r="AB50" s="252"/>
      <c r="AC50" s="252"/>
      <c r="AD50" s="252"/>
      <c r="AE50" s="241"/>
      <c r="AF50" s="241"/>
      <c r="AG50" s="1003"/>
    </row>
    <row r="51" spans="1:33" x14ac:dyDescent="0.25">
      <c r="A51" s="991" t="s">
        <v>530</v>
      </c>
      <c r="B51" s="992" t="s">
        <v>525</v>
      </c>
      <c r="C51" s="1004"/>
      <c r="D51" s="241"/>
      <c r="E51" s="1002"/>
      <c r="F51" s="253"/>
      <c r="G51" s="253"/>
      <c r="H51" s="253"/>
      <c r="I51" s="253"/>
      <c r="J51" s="253"/>
      <c r="K51" s="253"/>
      <c r="L51" s="253"/>
      <c r="M51" s="253"/>
      <c r="N51" s="253"/>
      <c r="O51" s="253"/>
      <c r="P51" s="253"/>
      <c r="Q51" s="243"/>
      <c r="R51" s="252"/>
      <c r="S51" s="252"/>
      <c r="T51" s="252"/>
      <c r="U51" s="252"/>
      <c r="V51" s="252"/>
      <c r="W51" s="252"/>
      <c r="X51" s="252"/>
      <c r="Y51" s="252"/>
      <c r="Z51" s="252"/>
      <c r="AA51" s="252"/>
      <c r="AB51" s="252"/>
      <c r="AC51" s="252"/>
      <c r="AD51" s="252"/>
      <c r="AE51" s="241"/>
      <c r="AF51" s="241"/>
      <c r="AG51" s="1003"/>
    </row>
    <row r="52" spans="1:33" x14ac:dyDescent="0.25">
      <c r="A52" s="991" t="s">
        <v>530</v>
      </c>
      <c r="B52" s="992" t="s">
        <v>526</v>
      </c>
      <c r="C52" s="241"/>
      <c r="D52" s="241"/>
      <c r="E52" s="1002"/>
      <c r="F52" s="253"/>
      <c r="G52" s="253"/>
      <c r="H52" s="253"/>
      <c r="I52" s="253"/>
      <c r="J52" s="253"/>
      <c r="K52" s="253"/>
      <c r="L52" s="253"/>
      <c r="M52" s="253"/>
      <c r="N52" s="253"/>
      <c r="O52" s="253"/>
      <c r="P52" s="253"/>
      <c r="Q52" s="253"/>
      <c r="R52" s="243"/>
      <c r="S52" s="252"/>
      <c r="T52" s="252"/>
      <c r="U52" s="252"/>
      <c r="V52" s="252"/>
      <c r="W52" s="252"/>
      <c r="X52" s="252"/>
      <c r="Y52" s="252"/>
      <c r="Z52" s="252"/>
      <c r="AA52" s="252"/>
      <c r="AB52" s="252"/>
      <c r="AC52" s="252"/>
      <c r="AD52" s="252"/>
      <c r="AE52" s="241"/>
      <c r="AF52" s="241"/>
      <c r="AG52" s="1003"/>
    </row>
    <row r="53" spans="1:33" x14ac:dyDescent="0.25">
      <c r="A53" s="991" t="s">
        <v>530</v>
      </c>
      <c r="B53" s="992" t="s">
        <v>527</v>
      </c>
      <c r="C53" s="241"/>
      <c r="D53" s="241"/>
      <c r="E53" s="1002"/>
      <c r="F53" s="253"/>
      <c r="G53" s="253"/>
      <c r="H53" s="253"/>
      <c r="I53" s="253"/>
      <c r="J53" s="253"/>
      <c r="K53" s="253"/>
      <c r="L53" s="253"/>
      <c r="M53" s="253"/>
      <c r="N53" s="253"/>
      <c r="O53" s="253"/>
      <c r="P53" s="253"/>
      <c r="Q53" s="253"/>
      <c r="R53" s="253"/>
      <c r="S53" s="243"/>
      <c r="T53" s="252"/>
      <c r="U53" s="252"/>
      <c r="V53" s="252"/>
      <c r="W53" s="252"/>
      <c r="X53" s="252"/>
      <c r="Y53" s="252"/>
      <c r="Z53" s="252"/>
      <c r="AA53" s="252"/>
      <c r="AB53" s="252"/>
      <c r="AC53" s="252"/>
      <c r="AD53" s="252"/>
      <c r="AE53" s="241"/>
      <c r="AF53" s="241"/>
      <c r="AG53" s="1003"/>
    </row>
    <row r="54" spans="1:33" x14ac:dyDescent="0.25">
      <c r="A54" s="991" t="s">
        <v>530</v>
      </c>
      <c r="B54" s="992" t="s">
        <v>531</v>
      </c>
      <c r="C54" s="241"/>
      <c r="D54" s="241"/>
      <c r="E54" s="1005"/>
      <c r="F54" s="253"/>
      <c r="G54" s="253"/>
      <c r="H54" s="253"/>
      <c r="I54" s="253"/>
      <c r="J54" s="253"/>
      <c r="K54" s="253"/>
      <c r="L54" s="253"/>
      <c r="M54" s="253"/>
      <c r="N54" s="253"/>
      <c r="O54" s="253"/>
      <c r="P54" s="253"/>
      <c r="Q54" s="253"/>
      <c r="R54" s="253"/>
      <c r="S54" s="253"/>
      <c r="T54" s="243"/>
      <c r="U54" s="252"/>
      <c r="V54" s="252"/>
      <c r="W54" s="252"/>
      <c r="X54" s="252"/>
      <c r="Y54" s="252"/>
      <c r="Z54" s="252"/>
      <c r="AA54" s="252"/>
      <c r="AB54" s="252"/>
      <c r="AC54" s="252"/>
      <c r="AD54" s="252"/>
      <c r="AE54" s="241"/>
      <c r="AF54" s="241"/>
      <c r="AG54" s="1003"/>
    </row>
    <row r="55" spans="1:33" x14ac:dyDescent="0.25">
      <c r="A55" s="991" t="s">
        <v>530</v>
      </c>
      <c r="B55" s="992" t="s">
        <v>532</v>
      </c>
      <c r="C55" s="241"/>
      <c r="D55" s="241"/>
      <c r="E55" s="1005"/>
      <c r="F55" s="253"/>
      <c r="G55" s="253"/>
      <c r="H55" s="253"/>
      <c r="I55" s="253"/>
      <c r="J55" s="253"/>
      <c r="K55" s="253"/>
      <c r="L55" s="253"/>
      <c r="M55" s="253"/>
      <c r="N55" s="253"/>
      <c r="O55" s="253"/>
      <c r="P55" s="253"/>
      <c r="Q55" s="253"/>
      <c r="R55" s="253"/>
      <c r="S55" s="253"/>
      <c r="T55" s="253"/>
      <c r="U55" s="243"/>
      <c r="V55" s="252"/>
      <c r="W55" s="252"/>
      <c r="X55" s="252"/>
      <c r="Y55" s="252"/>
      <c r="Z55" s="252"/>
      <c r="AA55" s="252"/>
      <c r="AB55" s="252"/>
      <c r="AC55" s="252"/>
      <c r="AD55" s="252"/>
      <c r="AE55" s="241"/>
      <c r="AF55" s="241"/>
      <c r="AG55" s="1003"/>
    </row>
    <row r="56" spans="1:33" x14ac:dyDescent="0.25">
      <c r="A56" s="991" t="s">
        <v>530</v>
      </c>
      <c r="B56" s="992" t="s">
        <v>533</v>
      </c>
      <c r="C56" s="241"/>
      <c r="D56" s="241"/>
      <c r="E56" s="1005"/>
      <c r="F56" s="253"/>
      <c r="G56" s="253"/>
      <c r="H56" s="253"/>
      <c r="I56" s="253"/>
      <c r="J56" s="253"/>
      <c r="K56" s="253"/>
      <c r="L56" s="253"/>
      <c r="M56" s="253"/>
      <c r="N56" s="253"/>
      <c r="O56" s="253"/>
      <c r="P56" s="253"/>
      <c r="Q56" s="253"/>
      <c r="R56" s="253"/>
      <c r="S56" s="253"/>
      <c r="T56" s="253"/>
      <c r="U56" s="253"/>
      <c r="V56" s="243"/>
      <c r="W56" s="252"/>
      <c r="X56" s="252"/>
      <c r="Y56" s="252"/>
      <c r="Z56" s="252"/>
      <c r="AA56" s="252"/>
      <c r="AB56" s="252"/>
      <c r="AC56" s="252"/>
      <c r="AD56" s="252"/>
      <c r="AE56" s="241"/>
      <c r="AF56" s="241"/>
      <c r="AG56" s="1003"/>
    </row>
    <row r="57" spans="1:33" x14ac:dyDescent="0.25">
      <c r="A57" s="991" t="s">
        <v>530</v>
      </c>
      <c r="B57" s="992" t="s">
        <v>543</v>
      </c>
      <c r="C57" s="241"/>
      <c r="D57" s="241"/>
      <c r="E57" s="1005"/>
      <c r="F57" s="253"/>
      <c r="G57" s="253"/>
      <c r="H57" s="253"/>
      <c r="I57" s="253"/>
      <c r="J57" s="253"/>
      <c r="K57" s="253"/>
      <c r="L57" s="253"/>
      <c r="M57" s="253"/>
      <c r="N57" s="253"/>
      <c r="O57" s="253"/>
      <c r="P57" s="253"/>
      <c r="Q57" s="253"/>
      <c r="R57" s="253"/>
      <c r="S57" s="253"/>
      <c r="T57" s="253"/>
      <c r="U57" s="253"/>
      <c r="V57" s="253"/>
      <c r="W57" s="243"/>
      <c r="X57" s="252"/>
      <c r="Y57" s="252"/>
      <c r="Z57" s="252"/>
      <c r="AA57" s="252"/>
      <c r="AB57" s="252"/>
      <c r="AC57" s="252"/>
      <c r="AD57" s="252"/>
      <c r="AE57" s="241"/>
      <c r="AF57" s="241"/>
      <c r="AG57" s="1003"/>
    </row>
    <row r="58" spans="1:33" x14ac:dyDescent="0.25">
      <c r="A58" s="991" t="s">
        <v>530</v>
      </c>
      <c r="B58" s="992" t="s">
        <v>544</v>
      </c>
      <c r="C58" s="241"/>
      <c r="D58" s="241"/>
      <c r="E58" s="1005"/>
      <c r="F58" s="253"/>
      <c r="G58" s="253"/>
      <c r="H58" s="253"/>
      <c r="I58" s="253"/>
      <c r="J58" s="253"/>
      <c r="K58" s="253"/>
      <c r="L58" s="253"/>
      <c r="M58" s="253"/>
      <c r="N58" s="253"/>
      <c r="O58" s="253"/>
      <c r="P58" s="253"/>
      <c r="Q58" s="253"/>
      <c r="R58" s="253"/>
      <c r="S58" s="253"/>
      <c r="T58" s="253"/>
      <c r="U58" s="253"/>
      <c r="V58" s="253"/>
      <c r="W58" s="253"/>
      <c r="X58" s="243"/>
      <c r="Y58" s="252"/>
      <c r="Z58" s="252"/>
      <c r="AA58" s="252"/>
      <c r="AB58" s="252"/>
      <c r="AC58" s="252"/>
      <c r="AD58" s="252"/>
      <c r="AE58" s="241"/>
      <c r="AF58" s="241"/>
      <c r="AG58" s="1003"/>
    </row>
    <row r="59" spans="1:33" x14ac:dyDescent="0.25">
      <c r="A59" s="991" t="s">
        <v>530</v>
      </c>
      <c r="B59" s="992" t="s">
        <v>545</v>
      </c>
      <c r="C59" s="241"/>
      <c r="D59" s="241"/>
      <c r="E59" s="1005"/>
      <c r="F59" s="253"/>
      <c r="G59" s="253"/>
      <c r="H59" s="253"/>
      <c r="I59" s="253"/>
      <c r="J59" s="253"/>
      <c r="K59" s="253"/>
      <c r="L59" s="253"/>
      <c r="M59" s="253"/>
      <c r="N59" s="253"/>
      <c r="O59" s="253"/>
      <c r="P59" s="253"/>
      <c r="Q59" s="253"/>
      <c r="R59" s="253"/>
      <c r="S59" s="253"/>
      <c r="T59" s="253"/>
      <c r="U59" s="253"/>
      <c r="V59" s="253"/>
      <c r="W59" s="253"/>
      <c r="X59" s="253"/>
      <c r="Y59" s="243"/>
      <c r="Z59" s="252"/>
      <c r="AA59" s="252"/>
      <c r="AB59" s="252"/>
      <c r="AC59" s="252"/>
      <c r="AD59" s="252"/>
      <c r="AE59" s="241"/>
      <c r="AF59" s="241"/>
      <c r="AG59" s="1003"/>
    </row>
    <row r="60" spans="1:33" x14ac:dyDescent="0.25">
      <c r="A60" s="991" t="s">
        <v>530</v>
      </c>
      <c r="B60" s="992" t="s">
        <v>1532</v>
      </c>
      <c r="C60" s="241"/>
      <c r="D60" s="241"/>
      <c r="E60" s="1005"/>
      <c r="F60" s="253"/>
      <c r="G60" s="253"/>
      <c r="H60" s="253"/>
      <c r="I60" s="253"/>
      <c r="J60" s="253"/>
      <c r="K60" s="253"/>
      <c r="L60" s="253"/>
      <c r="M60" s="253"/>
      <c r="N60" s="253"/>
      <c r="O60" s="253"/>
      <c r="P60" s="253"/>
      <c r="Q60" s="253"/>
      <c r="R60" s="253"/>
      <c r="S60" s="253"/>
      <c r="T60" s="253"/>
      <c r="U60" s="253"/>
      <c r="V60" s="253"/>
      <c r="W60" s="253"/>
      <c r="X60" s="253"/>
      <c r="Y60" s="253"/>
      <c r="Z60" s="243"/>
      <c r="AA60" s="252"/>
      <c r="AB60" s="252"/>
      <c r="AC60" s="252"/>
      <c r="AD60" s="252"/>
      <c r="AE60" s="241"/>
      <c r="AF60" s="241"/>
      <c r="AG60" s="1003"/>
    </row>
    <row r="61" spans="1:33" x14ac:dyDescent="0.25">
      <c r="A61" s="991" t="s">
        <v>530</v>
      </c>
      <c r="B61" s="992" t="s">
        <v>1533</v>
      </c>
      <c r="C61" s="241"/>
      <c r="D61" s="241"/>
      <c r="E61" s="1005"/>
      <c r="F61" s="253"/>
      <c r="G61" s="253"/>
      <c r="H61" s="253"/>
      <c r="I61" s="253"/>
      <c r="J61" s="253"/>
      <c r="K61" s="253"/>
      <c r="L61" s="253"/>
      <c r="M61" s="253"/>
      <c r="N61" s="253"/>
      <c r="O61" s="253"/>
      <c r="P61" s="253"/>
      <c r="Q61" s="253"/>
      <c r="R61" s="253"/>
      <c r="S61" s="253"/>
      <c r="T61" s="253"/>
      <c r="U61" s="253"/>
      <c r="V61" s="253"/>
      <c r="W61" s="253"/>
      <c r="X61" s="253"/>
      <c r="Y61" s="253"/>
      <c r="Z61" s="253"/>
      <c r="AA61" s="243"/>
      <c r="AB61" s="252"/>
      <c r="AC61" s="252"/>
      <c r="AD61" s="252"/>
      <c r="AE61" s="241"/>
      <c r="AF61" s="241"/>
      <c r="AG61" s="1003"/>
    </row>
    <row r="62" spans="1:33" x14ac:dyDescent="0.25">
      <c r="A62" s="991" t="s">
        <v>530</v>
      </c>
      <c r="B62" s="992" t="s">
        <v>1534</v>
      </c>
      <c r="C62" s="241"/>
      <c r="D62" s="241"/>
      <c r="E62" s="1005"/>
      <c r="F62" s="253"/>
      <c r="G62" s="253"/>
      <c r="H62" s="253"/>
      <c r="I62" s="253"/>
      <c r="J62" s="253"/>
      <c r="K62" s="253"/>
      <c r="L62" s="253"/>
      <c r="M62" s="253"/>
      <c r="N62" s="253"/>
      <c r="O62" s="253"/>
      <c r="P62" s="253"/>
      <c r="Q62" s="253"/>
      <c r="R62" s="253"/>
      <c r="S62" s="253"/>
      <c r="T62" s="253"/>
      <c r="U62" s="253"/>
      <c r="V62" s="253"/>
      <c r="W62" s="253"/>
      <c r="X62" s="253"/>
      <c r="Y62" s="253"/>
      <c r="Z62" s="253"/>
      <c r="AA62" s="253"/>
      <c r="AB62" s="243"/>
      <c r="AC62" s="252"/>
      <c r="AD62" s="252"/>
      <c r="AE62" s="241"/>
      <c r="AF62" s="241"/>
      <c r="AG62" s="1003"/>
    </row>
    <row r="63" spans="1:33" x14ac:dyDescent="0.25">
      <c r="A63" s="991" t="s">
        <v>530</v>
      </c>
      <c r="B63" s="992" t="s">
        <v>1535</v>
      </c>
      <c r="C63" s="241"/>
      <c r="D63" s="241"/>
      <c r="E63" s="1005"/>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43"/>
      <c r="AD63" s="252"/>
      <c r="AE63" s="241"/>
      <c r="AF63" s="241"/>
      <c r="AG63" s="1003"/>
    </row>
    <row r="64" spans="1:33" x14ac:dyDescent="0.25">
      <c r="A64" s="991" t="s">
        <v>530</v>
      </c>
      <c r="B64" s="992" t="s">
        <v>1536</v>
      </c>
      <c r="C64" s="241"/>
      <c r="D64" s="241"/>
      <c r="E64" s="1005"/>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43"/>
      <c r="AE64" s="241"/>
      <c r="AF64" s="241"/>
      <c r="AG64" s="1003"/>
    </row>
    <row r="65" spans="1:33" ht="13" x14ac:dyDescent="0.3">
      <c r="A65" s="995"/>
      <c r="B65" s="996" t="s">
        <v>271</v>
      </c>
      <c r="C65" s="244"/>
      <c r="D65" s="244"/>
      <c r="E65" s="244"/>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4"/>
      <c r="AF65" s="244"/>
      <c r="AG65" s="244"/>
    </row>
    <row r="66" spans="1:33" x14ac:dyDescent="0.25">
      <c r="C66" s="1007"/>
    </row>
    <row r="68" spans="1:33" s="1008" customFormat="1" x14ac:dyDescent="0.25">
      <c r="A68" s="985"/>
      <c r="B68" s="1006"/>
      <c r="C68" s="985"/>
      <c r="D68" s="985"/>
      <c r="E68" s="985"/>
      <c r="F68" s="985"/>
      <c r="G68" s="985"/>
      <c r="H68" s="985"/>
      <c r="I68" s="985"/>
      <c r="J68" s="985"/>
      <c r="K68" s="985"/>
      <c r="L68" s="985"/>
      <c r="M68" s="985"/>
      <c r="N68" s="985"/>
      <c r="O68" s="985"/>
      <c r="P68" s="985"/>
      <c r="Q68" s="985"/>
      <c r="R68" s="985"/>
      <c r="S68" s="985"/>
      <c r="T68" s="985"/>
      <c r="U68" s="985"/>
      <c r="V68" s="985"/>
      <c r="W68" s="985"/>
      <c r="X68" s="985"/>
      <c r="Y68" s="985"/>
      <c r="Z68" s="985"/>
      <c r="AA68" s="985"/>
      <c r="AB68" s="985"/>
      <c r="AC68" s="985"/>
      <c r="AD68" s="985"/>
      <c r="AE68" s="985"/>
      <c r="AF68" s="985"/>
      <c r="AG68" s="985"/>
    </row>
    <row r="69" spans="1:33" ht="13" x14ac:dyDescent="0.3">
      <c r="B69" s="986" t="s">
        <v>537</v>
      </c>
      <c r="F69" s="987" t="s">
        <v>10</v>
      </c>
    </row>
    <row r="70" spans="1:33" ht="26.15" customHeight="1" x14ac:dyDescent="0.35">
      <c r="A70" s="988"/>
      <c r="B70" s="1001" t="s">
        <v>413</v>
      </c>
      <c r="C70" s="1885" t="s">
        <v>512</v>
      </c>
      <c r="D70" s="1885" t="s">
        <v>513</v>
      </c>
      <c r="E70" s="1885" t="s">
        <v>583</v>
      </c>
      <c r="F70" s="1887" t="s">
        <v>584</v>
      </c>
      <c r="G70" s="1888"/>
      <c r="H70" s="1888"/>
      <c r="I70" s="1888"/>
      <c r="J70" s="1888"/>
      <c r="K70" s="1888"/>
      <c r="L70" s="1888"/>
      <c r="M70" s="1888"/>
      <c r="N70" s="1888"/>
      <c r="O70" s="1888"/>
      <c r="P70" s="1888"/>
      <c r="Q70" s="1888"/>
      <c r="R70" s="1888"/>
      <c r="S70" s="1888"/>
      <c r="T70" s="1888"/>
      <c r="U70" s="1888"/>
      <c r="V70" s="1888"/>
      <c r="W70" s="1888"/>
      <c r="X70" s="1888"/>
      <c r="Y70" s="1888"/>
      <c r="Z70" s="1888"/>
      <c r="AA70" s="1888"/>
      <c r="AB70" s="1888"/>
      <c r="AC70" s="1888"/>
      <c r="AD70" s="1889"/>
      <c r="AE70" s="989" t="s">
        <v>535</v>
      </c>
      <c r="AF70" s="989" t="s">
        <v>528</v>
      </c>
      <c r="AG70" s="989" t="s">
        <v>536</v>
      </c>
    </row>
    <row r="71" spans="1:33" ht="12.9" customHeight="1" x14ac:dyDescent="0.25">
      <c r="A71" s="988"/>
      <c r="B71" s="1001"/>
      <c r="C71" s="1886"/>
      <c r="D71" s="1886"/>
      <c r="E71" s="1886"/>
      <c r="F71" s="990" t="s">
        <v>514</v>
      </c>
      <c r="G71" s="990" t="s">
        <v>515</v>
      </c>
      <c r="H71" s="990" t="s">
        <v>516</v>
      </c>
      <c r="I71" s="990" t="s">
        <v>517</v>
      </c>
      <c r="J71" s="990" t="s">
        <v>518</v>
      </c>
      <c r="K71" s="990" t="s">
        <v>519</v>
      </c>
      <c r="L71" s="990" t="s">
        <v>520</v>
      </c>
      <c r="M71" s="990" t="s">
        <v>521</v>
      </c>
      <c r="N71" s="990" t="s">
        <v>522</v>
      </c>
      <c r="O71" s="990" t="s">
        <v>523</v>
      </c>
      <c r="P71" s="990" t="s">
        <v>524</v>
      </c>
      <c r="Q71" s="990" t="s">
        <v>525</v>
      </c>
      <c r="R71" s="990" t="s">
        <v>526</v>
      </c>
      <c r="S71" s="990" t="s">
        <v>527</v>
      </c>
      <c r="T71" s="990" t="s">
        <v>325</v>
      </c>
      <c r="U71" s="990" t="s">
        <v>503</v>
      </c>
      <c r="V71" s="990" t="s">
        <v>504</v>
      </c>
      <c r="W71" s="990" t="s">
        <v>505</v>
      </c>
      <c r="X71" s="990" t="s">
        <v>506</v>
      </c>
      <c r="Y71" s="990" t="s">
        <v>507</v>
      </c>
      <c r="Z71" s="990" t="s">
        <v>1067</v>
      </c>
      <c r="AA71" s="990" t="s">
        <v>1068</v>
      </c>
      <c r="AB71" s="990" t="s">
        <v>1069</v>
      </c>
      <c r="AC71" s="990" t="s">
        <v>1070</v>
      </c>
      <c r="AD71" s="990" t="s">
        <v>1071</v>
      </c>
      <c r="AE71" s="989"/>
      <c r="AF71" s="989"/>
      <c r="AG71" s="989"/>
    </row>
    <row r="72" spans="1:33" x14ac:dyDescent="0.25">
      <c r="A72" s="991" t="s">
        <v>529</v>
      </c>
      <c r="B72" s="992">
        <v>2005</v>
      </c>
      <c r="C72" s="1009"/>
      <c r="D72" s="1009"/>
      <c r="E72" s="100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1003"/>
      <c r="AF72" s="1003"/>
      <c r="AG72" s="1003"/>
    </row>
    <row r="73" spans="1:33" x14ac:dyDescent="0.25">
      <c r="A73" s="991" t="s">
        <v>530</v>
      </c>
      <c r="B73" s="992" t="s">
        <v>514</v>
      </c>
      <c r="C73" s="1009"/>
      <c r="D73" s="1009"/>
      <c r="E73" s="1002"/>
      <c r="F73" s="243"/>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1003"/>
      <c r="AF73" s="1003"/>
      <c r="AG73" s="1003"/>
    </row>
    <row r="74" spans="1:33" x14ac:dyDescent="0.25">
      <c r="A74" s="991" t="s">
        <v>530</v>
      </c>
      <c r="B74" s="992" t="s">
        <v>515</v>
      </c>
      <c r="C74" s="1009"/>
      <c r="D74" s="1009"/>
      <c r="E74" s="1002"/>
      <c r="F74" s="253"/>
      <c r="G74" s="243"/>
      <c r="H74" s="252"/>
      <c r="I74" s="252"/>
      <c r="J74" s="252"/>
      <c r="K74" s="252"/>
      <c r="L74" s="252"/>
      <c r="M74" s="252"/>
      <c r="N74" s="252"/>
      <c r="O74" s="252"/>
      <c r="P74" s="252"/>
      <c r="Q74" s="252"/>
      <c r="R74" s="252"/>
      <c r="S74" s="252"/>
      <c r="T74" s="252"/>
      <c r="U74" s="252"/>
      <c r="V74" s="252"/>
      <c r="W74" s="252"/>
      <c r="X74" s="252"/>
      <c r="Y74" s="252"/>
      <c r="Z74" s="252"/>
      <c r="AA74" s="252"/>
      <c r="AB74" s="252"/>
      <c r="AC74" s="252"/>
      <c r="AD74" s="252"/>
      <c r="AE74" s="1003"/>
      <c r="AF74" s="1003"/>
      <c r="AG74" s="1003"/>
    </row>
    <row r="75" spans="1:33" x14ac:dyDescent="0.25">
      <c r="A75" s="991" t="s">
        <v>530</v>
      </c>
      <c r="B75" s="992" t="s">
        <v>516</v>
      </c>
      <c r="C75" s="1009"/>
      <c r="D75" s="1009"/>
      <c r="E75" s="1002"/>
      <c r="F75" s="253"/>
      <c r="G75" s="253"/>
      <c r="H75" s="243"/>
      <c r="I75" s="252"/>
      <c r="J75" s="252"/>
      <c r="K75" s="252"/>
      <c r="L75" s="252"/>
      <c r="M75" s="252"/>
      <c r="N75" s="252"/>
      <c r="O75" s="252"/>
      <c r="P75" s="252"/>
      <c r="Q75" s="252"/>
      <c r="R75" s="252"/>
      <c r="S75" s="252"/>
      <c r="T75" s="252"/>
      <c r="U75" s="252"/>
      <c r="V75" s="252"/>
      <c r="W75" s="252"/>
      <c r="X75" s="252"/>
      <c r="Y75" s="252"/>
      <c r="Z75" s="252"/>
      <c r="AA75" s="252"/>
      <c r="AB75" s="252"/>
      <c r="AC75" s="252"/>
      <c r="AD75" s="252"/>
      <c r="AE75" s="1003"/>
      <c r="AF75" s="1003"/>
      <c r="AG75" s="1003"/>
    </row>
    <row r="76" spans="1:33" x14ac:dyDescent="0.25">
      <c r="A76" s="991" t="s">
        <v>530</v>
      </c>
      <c r="B76" s="992" t="s">
        <v>517</v>
      </c>
      <c r="C76" s="1009"/>
      <c r="D76" s="1009"/>
      <c r="E76" s="1002"/>
      <c r="F76" s="253"/>
      <c r="G76" s="253"/>
      <c r="H76" s="253"/>
      <c r="I76" s="243"/>
      <c r="J76" s="252"/>
      <c r="K76" s="252"/>
      <c r="L76" s="252"/>
      <c r="M76" s="252"/>
      <c r="N76" s="252"/>
      <c r="O76" s="252"/>
      <c r="P76" s="252"/>
      <c r="Q76" s="252"/>
      <c r="R76" s="252"/>
      <c r="S76" s="252"/>
      <c r="T76" s="252"/>
      <c r="U76" s="252"/>
      <c r="V76" s="252"/>
      <c r="W76" s="252"/>
      <c r="X76" s="252"/>
      <c r="Y76" s="252"/>
      <c r="Z76" s="252"/>
      <c r="AA76" s="252"/>
      <c r="AB76" s="252"/>
      <c r="AC76" s="252"/>
      <c r="AD76" s="252"/>
      <c r="AE76" s="1003"/>
      <c r="AF76" s="1003"/>
      <c r="AG76" s="1003"/>
    </row>
    <row r="77" spans="1:33" x14ac:dyDescent="0.25">
      <c r="A77" s="991" t="s">
        <v>530</v>
      </c>
      <c r="B77" s="992" t="s">
        <v>518</v>
      </c>
      <c r="C77" s="1009"/>
      <c r="D77" s="1009"/>
      <c r="E77" s="1002"/>
      <c r="F77" s="253"/>
      <c r="G77" s="253"/>
      <c r="H77" s="253"/>
      <c r="I77" s="253"/>
      <c r="J77" s="243"/>
      <c r="K77" s="252"/>
      <c r="L77" s="252"/>
      <c r="M77" s="252"/>
      <c r="N77" s="252"/>
      <c r="O77" s="252"/>
      <c r="P77" s="252"/>
      <c r="Q77" s="252"/>
      <c r="R77" s="252"/>
      <c r="S77" s="252"/>
      <c r="T77" s="252"/>
      <c r="U77" s="252"/>
      <c r="V77" s="252"/>
      <c r="W77" s="252"/>
      <c r="X77" s="252"/>
      <c r="Y77" s="252"/>
      <c r="Z77" s="252"/>
      <c r="AA77" s="252"/>
      <c r="AB77" s="252"/>
      <c r="AC77" s="252"/>
      <c r="AD77" s="252"/>
      <c r="AE77" s="1003"/>
      <c r="AF77" s="1003"/>
      <c r="AG77" s="1003"/>
    </row>
    <row r="78" spans="1:33" x14ac:dyDescent="0.25">
      <c r="A78" s="991" t="s">
        <v>530</v>
      </c>
      <c r="B78" s="992" t="s">
        <v>519</v>
      </c>
      <c r="C78" s="1009"/>
      <c r="D78" s="1009"/>
      <c r="E78" s="1002"/>
      <c r="F78" s="253"/>
      <c r="G78" s="253"/>
      <c r="H78" s="253"/>
      <c r="I78" s="253"/>
      <c r="J78" s="253"/>
      <c r="K78" s="243"/>
      <c r="L78" s="252"/>
      <c r="M78" s="252"/>
      <c r="N78" s="252"/>
      <c r="O78" s="252"/>
      <c r="P78" s="252"/>
      <c r="Q78" s="252"/>
      <c r="R78" s="252"/>
      <c r="S78" s="252"/>
      <c r="T78" s="252"/>
      <c r="U78" s="252"/>
      <c r="V78" s="252"/>
      <c r="W78" s="252"/>
      <c r="X78" s="252"/>
      <c r="Y78" s="252"/>
      <c r="Z78" s="252"/>
      <c r="AA78" s="252"/>
      <c r="AB78" s="252"/>
      <c r="AC78" s="252"/>
      <c r="AD78" s="252"/>
      <c r="AE78" s="1003"/>
      <c r="AF78" s="1003"/>
      <c r="AG78" s="1003"/>
    </row>
    <row r="79" spans="1:33" x14ac:dyDescent="0.25">
      <c r="A79" s="991" t="s">
        <v>530</v>
      </c>
      <c r="B79" s="992" t="s">
        <v>520</v>
      </c>
      <c r="C79" s="1009"/>
      <c r="D79" s="1009"/>
      <c r="E79" s="1002"/>
      <c r="F79" s="253"/>
      <c r="G79" s="253"/>
      <c r="H79" s="253"/>
      <c r="I79" s="253"/>
      <c r="J79" s="253"/>
      <c r="K79" s="253"/>
      <c r="L79" s="243"/>
      <c r="M79" s="252"/>
      <c r="N79" s="252"/>
      <c r="O79" s="252"/>
      <c r="P79" s="252"/>
      <c r="Q79" s="252"/>
      <c r="R79" s="252"/>
      <c r="S79" s="252"/>
      <c r="T79" s="252"/>
      <c r="U79" s="252"/>
      <c r="V79" s="252"/>
      <c r="W79" s="252"/>
      <c r="X79" s="252"/>
      <c r="Y79" s="252"/>
      <c r="Z79" s="252"/>
      <c r="AA79" s="252"/>
      <c r="AB79" s="252"/>
      <c r="AC79" s="252"/>
      <c r="AD79" s="252"/>
      <c r="AE79" s="1003"/>
      <c r="AF79" s="1003"/>
      <c r="AG79" s="1003"/>
    </row>
    <row r="80" spans="1:33" x14ac:dyDescent="0.25">
      <c r="A80" s="991" t="s">
        <v>530</v>
      </c>
      <c r="B80" s="992" t="s">
        <v>521</v>
      </c>
      <c r="C80" s="1009"/>
      <c r="D80" s="1009"/>
      <c r="E80" s="1002"/>
      <c r="F80" s="253"/>
      <c r="G80" s="253"/>
      <c r="H80" s="253"/>
      <c r="I80" s="253"/>
      <c r="J80" s="253"/>
      <c r="K80" s="253"/>
      <c r="L80" s="253"/>
      <c r="M80" s="243"/>
      <c r="N80" s="252"/>
      <c r="O80" s="252"/>
      <c r="P80" s="252"/>
      <c r="Q80" s="252"/>
      <c r="R80" s="252"/>
      <c r="S80" s="252"/>
      <c r="T80" s="252"/>
      <c r="U80" s="252"/>
      <c r="V80" s="252"/>
      <c r="W80" s="252"/>
      <c r="X80" s="252"/>
      <c r="Y80" s="252"/>
      <c r="Z80" s="252"/>
      <c r="AA80" s="252"/>
      <c r="AB80" s="252"/>
      <c r="AC80" s="252"/>
      <c r="AD80" s="252"/>
      <c r="AE80" s="1003"/>
      <c r="AF80" s="1003"/>
      <c r="AG80" s="1003"/>
    </row>
    <row r="81" spans="1:33" x14ac:dyDescent="0.25">
      <c r="A81" s="991" t="s">
        <v>530</v>
      </c>
      <c r="B81" s="992" t="s">
        <v>522</v>
      </c>
      <c r="C81" s="1009"/>
      <c r="D81" s="1009"/>
      <c r="E81" s="1002"/>
      <c r="F81" s="253"/>
      <c r="G81" s="253"/>
      <c r="H81" s="253"/>
      <c r="I81" s="253"/>
      <c r="J81" s="253"/>
      <c r="K81" s="253"/>
      <c r="L81" s="253"/>
      <c r="M81" s="253"/>
      <c r="N81" s="243"/>
      <c r="O81" s="252"/>
      <c r="P81" s="252"/>
      <c r="Q81" s="252"/>
      <c r="R81" s="252"/>
      <c r="S81" s="252"/>
      <c r="T81" s="252"/>
      <c r="U81" s="252"/>
      <c r="V81" s="252"/>
      <c r="W81" s="252"/>
      <c r="X81" s="252"/>
      <c r="Y81" s="252"/>
      <c r="Z81" s="252"/>
      <c r="AA81" s="252"/>
      <c r="AB81" s="252"/>
      <c r="AC81" s="252"/>
      <c r="AD81" s="252"/>
      <c r="AE81" s="1003"/>
      <c r="AF81" s="1003"/>
      <c r="AG81" s="1003"/>
    </row>
    <row r="82" spans="1:33" x14ac:dyDescent="0.25">
      <c r="A82" s="991" t="s">
        <v>530</v>
      </c>
      <c r="B82" s="992" t="s">
        <v>523</v>
      </c>
      <c r="C82" s="241"/>
      <c r="D82" s="991"/>
      <c r="E82" s="1002"/>
      <c r="F82" s="253"/>
      <c r="G82" s="253"/>
      <c r="H82" s="253"/>
      <c r="I82" s="253"/>
      <c r="J82" s="253"/>
      <c r="K82" s="253"/>
      <c r="L82" s="253"/>
      <c r="M82" s="253"/>
      <c r="N82" s="253"/>
      <c r="O82" s="243"/>
      <c r="P82" s="252"/>
      <c r="Q82" s="252"/>
      <c r="R82" s="252"/>
      <c r="S82" s="252"/>
      <c r="T82" s="252"/>
      <c r="U82" s="252"/>
      <c r="V82" s="252"/>
      <c r="W82" s="252"/>
      <c r="X82" s="252"/>
      <c r="Y82" s="252"/>
      <c r="Z82" s="252"/>
      <c r="AA82" s="252"/>
      <c r="AB82" s="252"/>
      <c r="AC82" s="252"/>
      <c r="AD82" s="252"/>
      <c r="AE82" s="1003"/>
      <c r="AF82" s="1003"/>
      <c r="AG82" s="1003"/>
    </row>
    <row r="83" spans="1:33" x14ac:dyDescent="0.25">
      <c r="A83" s="991" t="s">
        <v>530</v>
      </c>
      <c r="B83" s="992" t="s">
        <v>524</v>
      </c>
      <c r="C83" s="241"/>
      <c r="D83" s="991"/>
      <c r="E83" s="1002"/>
      <c r="F83" s="253"/>
      <c r="G83" s="253"/>
      <c r="H83" s="253"/>
      <c r="I83" s="253"/>
      <c r="J83" s="253"/>
      <c r="K83" s="253"/>
      <c r="L83" s="253"/>
      <c r="M83" s="253"/>
      <c r="N83" s="253"/>
      <c r="O83" s="253"/>
      <c r="P83" s="243"/>
      <c r="Q83" s="252"/>
      <c r="R83" s="252"/>
      <c r="S83" s="252"/>
      <c r="T83" s="252"/>
      <c r="U83" s="252"/>
      <c r="V83" s="252"/>
      <c r="W83" s="252"/>
      <c r="X83" s="252"/>
      <c r="Y83" s="252"/>
      <c r="Z83" s="252"/>
      <c r="AA83" s="252"/>
      <c r="AB83" s="252"/>
      <c r="AC83" s="252"/>
      <c r="AD83" s="252"/>
      <c r="AE83" s="1003"/>
      <c r="AF83" s="1003"/>
      <c r="AG83" s="1003"/>
    </row>
    <row r="84" spans="1:33" x14ac:dyDescent="0.25">
      <c r="A84" s="991" t="s">
        <v>530</v>
      </c>
      <c r="B84" s="992" t="s">
        <v>525</v>
      </c>
      <c r="C84" s="241"/>
      <c r="D84" s="241"/>
      <c r="E84" s="1002"/>
      <c r="F84" s="253"/>
      <c r="G84" s="253"/>
      <c r="H84" s="253"/>
      <c r="I84" s="253"/>
      <c r="J84" s="253"/>
      <c r="K84" s="253"/>
      <c r="L84" s="253"/>
      <c r="M84" s="253"/>
      <c r="N84" s="253"/>
      <c r="O84" s="253"/>
      <c r="P84" s="253"/>
      <c r="Q84" s="243"/>
      <c r="R84" s="252"/>
      <c r="S84" s="252"/>
      <c r="T84" s="252"/>
      <c r="U84" s="252"/>
      <c r="V84" s="252"/>
      <c r="W84" s="252"/>
      <c r="X84" s="252"/>
      <c r="Y84" s="252"/>
      <c r="Z84" s="252"/>
      <c r="AA84" s="252"/>
      <c r="AB84" s="252"/>
      <c r="AC84" s="252"/>
      <c r="AD84" s="252"/>
      <c r="AE84" s="1003"/>
      <c r="AF84" s="1003"/>
      <c r="AG84" s="1003"/>
    </row>
    <row r="85" spans="1:33" x14ac:dyDescent="0.25">
      <c r="A85" s="991" t="s">
        <v>530</v>
      </c>
      <c r="B85" s="992" t="s">
        <v>526</v>
      </c>
      <c r="C85" s="241"/>
      <c r="D85" s="241"/>
      <c r="E85" s="1002"/>
      <c r="F85" s="253"/>
      <c r="G85" s="253"/>
      <c r="H85" s="253"/>
      <c r="I85" s="253"/>
      <c r="J85" s="253"/>
      <c r="K85" s="253"/>
      <c r="L85" s="253"/>
      <c r="M85" s="253"/>
      <c r="N85" s="253"/>
      <c r="O85" s="253"/>
      <c r="P85" s="253"/>
      <c r="Q85" s="253"/>
      <c r="R85" s="243"/>
      <c r="S85" s="252"/>
      <c r="T85" s="252"/>
      <c r="U85" s="252"/>
      <c r="V85" s="252"/>
      <c r="W85" s="252"/>
      <c r="X85" s="252"/>
      <c r="Y85" s="252"/>
      <c r="Z85" s="252"/>
      <c r="AA85" s="252"/>
      <c r="AB85" s="252"/>
      <c r="AC85" s="252"/>
      <c r="AD85" s="252"/>
      <c r="AE85" s="1003"/>
      <c r="AF85" s="1003"/>
      <c r="AG85" s="1003"/>
    </row>
    <row r="86" spans="1:33" x14ac:dyDescent="0.25">
      <c r="A86" s="991" t="s">
        <v>530</v>
      </c>
      <c r="B86" s="992" t="s">
        <v>527</v>
      </c>
      <c r="C86" s="241"/>
      <c r="D86" s="241"/>
      <c r="E86" s="1002"/>
      <c r="F86" s="253"/>
      <c r="G86" s="253"/>
      <c r="H86" s="253"/>
      <c r="I86" s="253"/>
      <c r="J86" s="253"/>
      <c r="K86" s="253"/>
      <c r="L86" s="253"/>
      <c r="M86" s="253"/>
      <c r="N86" s="253"/>
      <c r="O86" s="253"/>
      <c r="P86" s="253"/>
      <c r="Q86" s="253"/>
      <c r="R86" s="253"/>
      <c r="S86" s="243"/>
      <c r="T86" s="252"/>
      <c r="U86" s="252"/>
      <c r="V86" s="252"/>
      <c r="W86" s="252"/>
      <c r="X86" s="252"/>
      <c r="Y86" s="252"/>
      <c r="Z86" s="252"/>
      <c r="AA86" s="252"/>
      <c r="AB86" s="252"/>
      <c r="AC86" s="252"/>
      <c r="AD86" s="252"/>
      <c r="AE86" s="1003"/>
      <c r="AF86" s="1003"/>
      <c r="AG86" s="1003"/>
    </row>
    <row r="87" spans="1:33" x14ac:dyDescent="0.25">
      <c r="A87" s="991" t="s">
        <v>530</v>
      </c>
      <c r="B87" s="992" t="s">
        <v>531</v>
      </c>
      <c r="C87" s="241"/>
      <c r="D87" s="241"/>
      <c r="E87" s="1005"/>
      <c r="F87" s="253"/>
      <c r="G87" s="253"/>
      <c r="H87" s="253"/>
      <c r="I87" s="253"/>
      <c r="J87" s="253"/>
      <c r="K87" s="253"/>
      <c r="L87" s="253"/>
      <c r="M87" s="253"/>
      <c r="N87" s="253"/>
      <c r="O87" s="253"/>
      <c r="P87" s="253"/>
      <c r="Q87" s="253"/>
      <c r="R87" s="253"/>
      <c r="S87" s="253"/>
      <c r="T87" s="243"/>
      <c r="U87" s="252"/>
      <c r="V87" s="252"/>
      <c r="W87" s="252"/>
      <c r="X87" s="252"/>
      <c r="Y87" s="252"/>
      <c r="Z87" s="252"/>
      <c r="AA87" s="252"/>
      <c r="AB87" s="252"/>
      <c r="AC87" s="252"/>
      <c r="AD87" s="252"/>
      <c r="AE87" s="1003"/>
      <c r="AF87" s="1003"/>
      <c r="AG87" s="1003"/>
    </row>
    <row r="88" spans="1:33" x14ac:dyDescent="0.25">
      <c r="A88" s="991" t="s">
        <v>530</v>
      </c>
      <c r="B88" s="992" t="s">
        <v>532</v>
      </c>
      <c r="C88" s="241"/>
      <c r="D88" s="241"/>
      <c r="E88" s="1005"/>
      <c r="F88" s="253"/>
      <c r="G88" s="253"/>
      <c r="H88" s="253"/>
      <c r="I88" s="253"/>
      <c r="J88" s="253"/>
      <c r="K88" s="253"/>
      <c r="L88" s="253"/>
      <c r="M88" s="253"/>
      <c r="N88" s="253"/>
      <c r="O88" s="253"/>
      <c r="P88" s="253"/>
      <c r="Q88" s="253"/>
      <c r="R88" s="253"/>
      <c r="S88" s="253"/>
      <c r="T88" s="253"/>
      <c r="U88" s="243"/>
      <c r="V88" s="252"/>
      <c r="W88" s="252"/>
      <c r="X88" s="252"/>
      <c r="Y88" s="252"/>
      <c r="Z88" s="252"/>
      <c r="AA88" s="252"/>
      <c r="AB88" s="252"/>
      <c r="AC88" s="252"/>
      <c r="AD88" s="252"/>
      <c r="AE88" s="1003"/>
      <c r="AF88" s="1003"/>
      <c r="AG88" s="1003"/>
    </row>
    <row r="89" spans="1:33" x14ac:dyDescent="0.25">
      <c r="A89" s="991" t="s">
        <v>530</v>
      </c>
      <c r="B89" s="992" t="s">
        <v>533</v>
      </c>
      <c r="C89" s="241"/>
      <c r="D89" s="241"/>
      <c r="E89" s="1005"/>
      <c r="F89" s="253"/>
      <c r="G89" s="253"/>
      <c r="H89" s="253"/>
      <c r="I89" s="253"/>
      <c r="J89" s="253"/>
      <c r="K89" s="253"/>
      <c r="L89" s="253"/>
      <c r="M89" s="253"/>
      <c r="N89" s="253"/>
      <c r="O89" s="253"/>
      <c r="P89" s="253"/>
      <c r="Q89" s="253"/>
      <c r="R89" s="253"/>
      <c r="S89" s="253"/>
      <c r="T89" s="253"/>
      <c r="U89" s="253"/>
      <c r="V89" s="243"/>
      <c r="W89" s="252"/>
      <c r="X89" s="252"/>
      <c r="Y89" s="252"/>
      <c r="Z89" s="252"/>
      <c r="AA89" s="252"/>
      <c r="AB89" s="252"/>
      <c r="AC89" s="252"/>
      <c r="AD89" s="252"/>
      <c r="AE89" s="1003"/>
      <c r="AF89" s="1003"/>
      <c r="AG89" s="1003"/>
    </row>
    <row r="90" spans="1:33" x14ac:dyDescent="0.25">
      <c r="A90" s="991" t="s">
        <v>530</v>
      </c>
      <c r="B90" s="992" t="s">
        <v>543</v>
      </c>
      <c r="C90" s="241"/>
      <c r="D90" s="241"/>
      <c r="E90" s="1005"/>
      <c r="F90" s="253"/>
      <c r="G90" s="253"/>
      <c r="H90" s="253"/>
      <c r="I90" s="253"/>
      <c r="J90" s="253"/>
      <c r="K90" s="253"/>
      <c r="L90" s="253"/>
      <c r="M90" s="253"/>
      <c r="N90" s="253"/>
      <c r="O90" s="253"/>
      <c r="P90" s="253"/>
      <c r="Q90" s="253"/>
      <c r="R90" s="253"/>
      <c r="S90" s="253"/>
      <c r="T90" s="253"/>
      <c r="U90" s="253"/>
      <c r="V90" s="253"/>
      <c r="W90" s="243"/>
      <c r="X90" s="252"/>
      <c r="Y90" s="252"/>
      <c r="Z90" s="252"/>
      <c r="AA90" s="252"/>
      <c r="AB90" s="252"/>
      <c r="AC90" s="252"/>
      <c r="AD90" s="252"/>
      <c r="AE90" s="1003"/>
      <c r="AF90" s="1003"/>
      <c r="AG90" s="1003"/>
    </row>
    <row r="91" spans="1:33" x14ac:dyDescent="0.25">
      <c r="A91" s="991" t="s">
        <v>530</v>
      </c>
      <c r="B91" s="992" t="s">
        <v>544</v>
      </c>
      <c r="C91" s="241"/>
      <c r="D91" s="241"/>
      <c r="E91" s="1005"/>
      <c r="F91" s="253"/>
      <c r="G91" s="253"/>
      <c r="H91" s="253"/>
      <c r="I91" s="253"/>
      <c r="J91" s="253"/>
      <c r="K91" s="253"/>
      <c r="L91" s="253"/>
      <c r="M91" s="253"/>
      <c r="N91" s="253"/>
      <c r="O91" s="253"/>
      <c r="P91" s="253"/>
      <c r="Q91" s="253"/>
      <c r="R91" s="253"/>
      <c r="S91" s="253"/>
      <c r="T91" s="253"/>
      <c r="U91" s="253"/>
      <c r="V91" s="253"/>
      <c r="W91" s="253"/>
      <c r="X91" s="243"/>
      <c r="Y91" s="252"/>
      <c r="Z91" s="252"/>
      <c r="AA91" s="252"/>
      <c r="AB91" s="252"/>
      <c r="AC91" s="252"/>
      <c r="AD91" s="252"/>
      <c r="AE91" s="1003"/>
      <c r="AF91" s="1003"/>
      <c r="AG91" s="1003"/>
    </row>
    <row r="92" spans="1:33" x14ac:dyDescent="0.25">
      <c r="A92" s="991" t="s">
        <v>530</v>
      </c>
      <c r="B92" s="992" t="s">
        <v>545</v>
      </c>
      <c r="C92" s="241"/>
      <c r="D92" s="241"/>
      <c r="E92" s="1005"/>
      <c r="F92" s="253"/>
      <c r="G92" s="253"/>
      <c r="H92" s="253"/>
      <c r="I92" s="253"/>
      <c r="J92" s="253"/>
      <c r="K92" s="253"/>
      <c r="L92" s="253"/>
      <c r="M92" s="253"/>
      <c r="N92" s="253"/>
      <c r="O92" s="253"/>
      <c r="P92" s="253"/>
      <c r="Q92" s="253"/>
      <c r="R92" s="253"/>
      <c r="S92" s="253"/>
      <c r="T92" s="253"/>
      <c r="U92" s="253"/>
      <c r="V92" s="253"/>
      <c r="W92" s="253"/>
      <c r="X92" s="253"/>
      <c r="Y92" s="243"/>
      <c r="Z92" s="252"/>
      <c r="AA92" s="252"/>
      <c r="AB92" s="252"/>
      <c r="AC92" s="252"/>
      <c r="AD92" s="252"/>
      <c r="AE92" s="1003"/>
      <c r="AF92" s="1003"/>
      <c r="AG92" s="1003"/>
    </row>
    <row r="93" spans="1:33" x14ac:dyDescent="0.25">
      <c r="A93" s="991" t="s">
        <v>530</v>
      </c>
      <c r="B93" s="992" t="s">
        <v>1532</v>
      </c>
      <c r="C93" s="241"/>
      <c r="D93" s="241"/>
      <c r="E93" s="1005"/>
      <c r="F93" s="253"/>
      <c r="G93" s="253"/>
      <c r="H93" s="253"/>
      <c r="I93" s="253"/>
      <c r="J93" s="253"/>
      <c r="K93" s="253"/>
      <c r="L93" s="253"/>
      <c r="M93" s="253"/>
      <c r="N93" s="253"/>
      <c r="O93" s="253"/>
      <c r="P93" s="253"/>
      <c r="Q93" s="253"/>
      <c r="R93" s="253"/>
      <c r="S93" s="253"/>
      <c r="T93" s="253"/>
      <c r="U93" s="253"/>
      <c r="V93" s="253"/>
      <c r="W93" s="253"/>
      <c r="X93" s="253"/>
      <c r="Y93" s="253"/>
      <c r="Z93" s="243"/>
      <c r="AA93" s="252"/>
      <c r="AB93" s="252"/>
      <c r="AC93" s="252"/>
      <c r="AD93" s="252"/>
      <c r="AE93" s="241"/>
      <c r="AF93" s="241"/>
      <c r="AG93" s="1003"/>
    </row>
    <row r="94" spans="1:33" x14ac:dyDescent="0.25">
      <c r="A94" s="991" t="s">
        <v>530</v>
      </c>
      <c r="B94" s="992" t="s">
        <v>1533</v>
      </c>
      <c r="C94" s="241"/>
      <c r="D94" s="241"/>
      <c r="E94" s="1005"/>
      <c r="F94" s="253"/>
      <c r="G94" s="253"/>
      <c r="H94" s="253"/>
      <c r="I94" s="253"/>
      <c r="J94" s="253"/>
      <c r="K94" s="253"/>
      <c r="L94" s="253"/>
      <c r="M94" s="253"/>
      <c r="N94" s="253"/>
      <c r="O94" s="253"/>
      <c r="P94" s="253"/>
      <c r="Q94" s="253"/>
      <c r="R94" s="253"/>
      <c r="S94" s="253"/>
      <c r="T94" s="253"/>
      <c r="U94" s="253"/>
      <c r="V94" s="253"/>
      <c r="W94" s="253"/>
      <c r="X94" s="253"/>
      <c r="Y94" s="253"/>
      <c r="Z94" s="253"/>
      <c r="AA94" s="243"/>
      <c r="AB94" s="252"/>
      <c r="AC94" s="252"/>
      <c r="AD94" s="252"/>
      <c r="AE94" s="241"/>
      <c r="AF94" s="241"/>
      <c r="AG94" s="1003"/>
    </row>
    <row r="95" spans="1:33" x14ac:dyDescent="0.25">
      <c r="A95" s="991" t="s">
        <v>530</v>
      </c>
      <c r="B95" s="992" t="s">
        <v>1534</v>
      </c>
      <c r="C95" s="241"/>
      <c r="D95" s="241"/>
      <c r="E95" s="1005"/>
      <c r="F95" s="253"/>
      <c r="G95" s="253"/>
      <c r="H95" s="253"/>
      <c r="I95" s="253"/>
      <c r="J95" s="253"/>
      <c r="K95" s="253"/>
      <c r="L95" s="253"/>
      <c r="M95" s="253"/>
      <c r="N95" s="253"/>
      <c r="O95" s="253"/>
      <c r="P95" s="253"/>
      <c r="Q95" s="253"/>
      <c r="R95" s="253"/>
      <c r="S95" s="253"/>
      <c r="T95" s="253"/>
      <c r="U95" s="253"/>
      <c r="V95" s="253"/>
      <c r="W95" s="253"/>
      <c r="X95" s="253"/>
      <c r="Y95" s="253"/>
      <c r="Z95" s="253"/>
      <c r="AA95" s="253"/>
      <c r="AB95" s="243"/>
      <c r="AC95" s="252"/>
      <c r="AD95" s="252"/>
      <c r="AE95" s="241"/>
      <c r="AF95" s="241"/>
      <c r="AG95" s="1003"/>
    </row>
    <row r="96" spans="1:33" x14ac:dyDescent="0.25">
      <c r="A96" s="991" t="s">
        <v>530</v>
      </c>
      <c r="B96" s="992" t="s">
        <v>1535</v>
      </c>
      <c r="C96" s="241"/>
      <c r="D96" s="241"/>
      <c r="E96" s="1005"/>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43"/>
      <c r="AD96" s="252"/>
      <c r="AE96" s="241"/>
      <c r="AF96" s="241"/>
      <c r="AG96" s="1003"/>
    </row>
    <row r="97" spans="1:33" x14ac:dyDescent="0.25">
      <c r="A97" s="991" t="s">
        <v>530</v>
      </c>
      <c r="B97" s="992" t="s">
        <v>1536</v>
      </c>
      <c r="C97" s="241"/>
      <c r="D97" s="241"/>
      <c r="E97" s="1005"/>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43"/>
      <c r="AE97" s="241"/>
      <c r="AF97" s="241"/>
      <c r="AG97" s="1003"/>
    </row>
    <row r="98" spans="1:33" ht="13" x14ac:dyDescent="0.3">
      <c r="A98" s="995"/>
      <c r="B98" s="996" t="s">
        <v>271</v>
      </c>
      <c r="C98" s="242"/>
      <c r="D98" s="242"/>
      <c r="E98" s="244"/>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row>
    <row r="102" spans="1:33" ht="13" x14ac:dyDescent="0.3">
      <c r="B102" s="986" t="s">
        <v>538</v>
      </c>
      <c r="F102" s="987" t="s">
        <v>10</v>
      </c>
    </row>
    <row r="103" spans="1:33" ht="26.15" customHeight="1" x14ac:dyDescent="0.35">
      <c r="A103" s="988"/>
      <c r="B103" s="1001" t="s">
        <v>413</v>
      </c>
      <c r="C103" s="1885" t="s">
        <v>512</v>
      </c>
      <c r="D103" s="1885" t="s">
        <v>513</v>
      </c>
      <c r="E103" s="1885" t="s">
        <v>583</v>
      </c>
      <c r="F103" s="1887" t="s">
        <v>584</v>
      </c>
      <c r="G103" s="1888"/>
      <c r="H103" s="1888"/>
      <c r="I103" s="1888"/>
      <c r="J103" s="1888"/>
      <c r="K103" s="1888"/>
      <c r="L103" s="1888"/>
      <c r="M103" s="1888"/>
      <c r="N103" s="1888"/>
      <c r="O103" s="1888"/>
      <c r="P103" s="1888"/>
      <c r="Q103" s="1888"/>
      <c r="R103" s="1888"/>
      <c r="S103" s="1888"/>
      <c r="T103" s="1888"/>
      <c r="U103" s="1888"/>
      <c r="V103" s="1888"/>
      <c r="W103" s="1888"/>
      <c r="X103" s="1888"/>
      <c r="Y103" s="1888"/>
      <c r="Z103" s="1888"/>
      <c r="AA103" s="1888"/>
      <c r="AB103" s="1888"/>
      <c r="AC103" s="1888"/>
      <c r="AD103" s="1889"/>
      <c r="AE103" s="989" t="s">
        <v>535</v>
      </c>
      <c r="AF103" s="989" t="s">
        <v>528</v>
      </c>
      <c r="AG103" s="989" t="s">
        <v>536</v>
      </c>
    </row>
    <row r="104" spans="1:33" ht="12.9" customHeight="1" x14ac:dyDescent="0.25">
      <c r="A104" s="988"/>
      <c r="B104" s="1001"/>
      <c r="C104" s="1886"/>
      <c r="D104" s="1886"/>
      <c r="E104" s="1886"/>
      <c r="F104" s="990" t="s">
        <v>514</v>
      </c>
      <c r="G104" s="990" t="s">
        <v>515</v>
      </c>
      <c r="H104" s="990" t="s">
        <v>516</v>
      </c>
      <c r="I104" s="990" t="s">
        <v>517</v>
      </c>
      <c r="J104" s="990" t="s">
        <v>518</v>
      </c>
      <c r="K104" s="990" t="s">
        <v>519</v>
      </c>
      <c r="L104" s="990" t="s">
        <v>520</v>
      </c>
      <c r="M104" s="990" t="s">
        <v>521</v>
      </c>
      <c r="N104" s="990" t="s">
        <v>522</v>
      </c>
      <c r="O104" s="990" t="s">
        <v>523</v>
      </c>
      <c r="P104" s="990" t="s">
        <v>524</v>
      </c>
      <c r="Q104" s="990" t="s">
        <v>525</v>
      </c>
      <c r="R104" s="990" t="s">
        <v>526</v>
      </c>
      <c r="S104" s="990" t="s">
        <v>527</v>
      </c>
      <c r="T104" s="990" t="s">
        <v>325</v>
      </c>
      <c r="U104" s="990" t="s">
        <v>503</v>
      </c>
      <c r="V104" s="990" t="s">
        <v>504</v>
      </c>
      <c r="W104" s="990" t="s">
        <v>505</v>
      </c>
      <c r="X104" s="990" t="s">
        <v>506</v>
      </c>
      <c r="Y104" s="990" t="s">
        <v>507</v>
      </c>
      <c r="Z104" s="990" t="s">
        <v>1067</v>
      </c>
      <c r="AA104" s="990" t="s">
        <v>1068</v>
      </c>
      <c r="AB104" s="990" t="s">
        <v>1069</v>
      </c>
      <c r="AC104" s="990" t="s">
        <v>1070</v>
      </c>
      <c r="AD104" s="990" t="s">
        <v>1071</v>
      </c>
      <c r="AE104" s="989"/>
      <c r="AF104" s="989"/>
      <c r="AG104" s="989"/>
    </row>
    <row r="105" spans="1:33" x14ac:dyDescent="0.25">
      <c r="A105" s="991" t="s">
        <v>529</v>
      </c>
      <c r="B105" s="992">
        <v>2005</v>
      </c>
      <c r="C105" s="991"/>
      <c r="D105" s="991"/>
      <c r="E105" s="100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1003"/>
      <c r="AF105" s="1003"/>
      <c r="AG105" s="1003"/>
    </row>
    <row r="106" spans="1:33" x14ac:dyDescent="0.25">
      <c r="A106" s="991" t="s">
        <v>530</v>
      </c>
      <c r="B106" s="992" t="s">
        <v>514</v>
      </c>
      <c r="C106" s="991"/>
      <c r="D106" s="991"/>
      <c r="E106" s="1002"/>
      <c r="F106" s="243"/>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1003"/>
      <c r="AF106" s="1003"/>
      <c r="AG106" s="1003"/>
    </row>
    <row r="107" spans="1:33" x14ac:dyDescent="0.25">
      <c r="A107" s="991" t="s">
        <v>530</v>
      </c>
      <c r="B107" s="992" t="s">
        <v>515</v>
      </c>
      <c r="C107" s="991"/>
      <c r="D107" s="991"/>
      <c r="E107" s="1002"/>
      <c r="F107" s="253"/>
      <c r="G107" s="243"/>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1003"/>
      <c r="AF107" s="1003"/>
      <c r="AG107" s="1003"/>
    </row>
    <row r="108" spans="1:33" x14ac:dyDescent="0.25">
      <c r="A108" s="991" t="s">
        <v>530</v>
      </c>
      <c r="B108" s="992" t="s">
        <v>516</v>
      </c>
      <c r="C108" s="991"/>
      <c r="D108" s="991"/>
      <c r="E108" s="1002"/>
      <c r="F108" s="253"/>
      <c r="G108" s="253"/>
      <c r="H108" s="243"/>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1003"/>
      <c r="AF108" s="1003"/>
      <c r="AG108" s="1003"/>
    </row>
    <row r="109" spans="1:33" x14ac:dyDescent="0.25">
      <c r="A109" s="991" t="s">
        <v>530</v>
      </c>
      <c r="B109" s="992" t="s">
        <v>517</v>
      </c>
      <c r="C109" s="991"/>
      <c r="D109" s="991"/>
      <c r="E109" s="1002"/>
      <c r="F109" s="253"/>
      <c r="G109" s="253"/>
      <c r="H109" s="253"/>
      <c r="I109" s="243"/>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1003"/>
      <c r="AF109" s="1003"/>
      <c r="AG109" s="1003"/>
    </row>
    <row r="110" spans="1:33" x14ac:dyDescent="0.25">
      <c r="A110" s="991" t="s">
        <v>530</v>
      </c>
      <c r="B110" s="992" t="s">
        <v>518</v>
      </c>
      <c r="C110" s="991"/>
      <c r="D110" s="991"/>
      <c r="E110" s="1002"/>
      <c r="F110" s="253"/>
      <c r="G110" s="253"/>
      <c r="H110" s="253"/>
      <c r="I110" s="253"/>
      <c r="J110" s="243"/>
      <c r="K110" s="252"/>
      <c r="L110" s="252"/>
      <c r="M110" s="252"/>
      <c r="N110" s="252"/>
      <c r="O110" s="252"/>
      <c r="P110" s="252"/>
      <c r="Q110" s="252"/>
      <c r="R110" s="252"/>
      <c r="S110" s="252"/>
      <c r="T110" s="252"/>
      <c r="U110" s="252"/>
      <c r="V110" s="252"/>
      <c r="W110" s="252"/>
      <c r="X110" s="252"/>
      <c r="Y110" s="252"/>
      <c r="Z110" s="252"/>
      <c r="AA110" s="252"/>
      <c r="AB110" s="252"/>
      <c r="AC110" s="252"/>
      <c r="AD110" s="252"/>
      <c r="AE110" s="1003"/>
      <c r="AF110" s="1003"/>
      <c r="AG110" s="1003"/>
    </row>
    <row r="111" spans="1:33" x14ac:dyDescent="0.25">
      <c r="A111" s="991" t="s">
        <v>530</v>
      </c>
      <c r="B111" s="992" t="s">
        <v>519</v>
      </c>
      <c r="C111" s="991"/>
      <c r="D111" s="991"/>
      <c r="E111" s="1002"/>
      <c r="F111" s="253"/>
      <c r="G111" s="253"/>
      <c r="H111" s="253"/>
      <c r="I111" s="253"/>
      <c r="J111" s="253"/>
      <c r="K111" s="243"/>
      <c r="L111" s="252"/>
      <c r="M111" s="252"/>
      <c r="N111" s="252"/>
      <c r="O111" s="252"/>
      <c r="P111" s="252"/>
      <c r="Q111" s="252"/>
      <c r="R111" s="252"/>
      <c r="S111" s="252"/>
      <c r="T111" s="252"/>
      <c r="U111" s="252"/>
      <c r="V111" s="252"/>
      <c r="W111" s="252"/>
      <c r="X111" s="252"/>
      <c r="Y111" s="252"/>
      <c r="Z111" s="252"/>
      <c r="AA111" s="252"/>
      <c r="AB111" s="252"/>
      <c r="AC111" s="252"/>
      <c r="AD111" s="252"/>
      <c r="AE111" s="1003"/>
      <c r="AF111" s="1003"/>
      <c r="AG111" s="1003"/>
    </row>
    <row r="112" spans="1:33" x14ac:dyDescent="0.25">
      <c r="A112" s="991" t="s">
        <v>530</v>
      </c>
      <c r="B112" s="992" t="s">
        <v>520</v>
      </c>
      <c r="C112" s="991"/>
      <c r="D112" s="991"/>
      <c r="E112" s="1002"/>
      <c r="F112" s="253"/>
      <c r="G112" s="253"/>
      <c r="H112" s="253"/>
      <c r="I112" s="253"/>
      <c r="J112" s="253"/>
      <c r="K112" s="253"/>
      <c r="L112" s="243"/>
      <c r="M112" s="252"/>
      <c r="N112" s="252"/>
      <c r="O112" s="252"/>
      <c r="P112" s="252"/>
      <c r="Q112" s="252"/>
      <c r="R112" s="252"/>
      <c r="S112" s="252"/>
      <c r="T112" s="252"/>
      <c r="U112" s="252"/>
      <c r="V112" s="252"/>
      <c r="W112" s="252"/>
      <c r="X112" s="252"/>
      <c r="Y112" s="252"/>
      <c r="Z112" s="252"/>
      <c r="AA112" s="252"/>
      <c r="AB112" s="252"/>
      <c r="AC112" s="252"/>
      <c r="AD112" s="252"/>
      <c r="AE112" s="1003"/>
      <c r="AF112" s="1003"/>
      <c r="AG112" s="1003"/>
    </row>
    <row r="113" spans="1:33" x14ac:dyDescent="0.25">
      <c r="A113" s="991" t="s">
        <v>530</v>
      </c>
      <c r="B113" s="992" t="s">
        <v>521</v>
      </c>
      <c r="C113" s="991"/>
      <c r="D113" s="991"/>
      <c r="E113" s="1002"/>
      <c r="F113" s="253"/>
      <c r="G113" s="253"/>
      <c r="H113" s="253"/>
      <c r="I113" s="253"/>
      <c r="J113" s="253"/>
      <c r="K113" s="253"/>
      <c r="L113" s="253"/>
      <c r="M113" s="243"/>
      <c r="N113" s="252"/>
      <c r="O113" s="252"/>
      <c r="P113" s="252"/>
      <c r="Q113" s="252"/>
      <c r="R113" s="252"/>
      <c r="S113" s="252"/>
      <c r="T113" s="252"/>
      <c r="U113" s="252"/>
      <c r="V113" s="252"/>
      <c r="W113" s="252"/>
      <c r="X113" s="252"/>
      <c r="Y113" s="252"/>
      <c r="Z113" s="252"/>
      <c r="AA113" s="252"/>
      <c r="AB113" s="252"/>
      <c r="AC113" s="252"/>
      <c r="AD113" s="252"/>
      <c r="AE113" s="1003"/>
      <c r="AF113" s="1003"/>
      <c r="AG113" s="1003"/>
    </row>
    <row r="114" spans="1:33" x14ac:dyDescent="0.25">
      <c r="A114" s="991" t="s">
        <v>530</v>
      </c>
      <c r="B114" s="992" t="s">
        <v>522</v>
      </c>
      <c r="C114" s="991"/>
      <c r="D114" s="991"/>
      <c r="E114" s="1002"/>
      <c r="F114" s="253"/>
      <c r="G114" s="253"/>
      <c r="H114" s="253"/>
      <c r="I114" s="253"/>
      <c r="J114" s="253"/>
      <c r="K114" s="253"/>
      <c r="L114" s="253"/>
      <c r="M114" s="253"/>
      <c r="N114" s="243"/>
      <c r="O114" s="252"/>
      <c r="P114" s="252"/>
      <c r="Q114" s="252"/>
      <c r="R114" s="252"/>
      <c r="S114" s="252"/>
      <c r="T114" s="252"/>
      <c r="U114" s="252"/>
      <c r="V114" s="252"/>
      <c r="W114" s="252"/>
      <c r="X114" s="252"/>
      <c r="Y114" s="252"/>
      <c r="Z114" s="252"/>
      <c r="AA114" s="252"/>
      <c r="AB114" s="252"/>
      <c r="AC114" s="252"/>
      <c r="AD114" s="252"/>
      <c r="AE114" s="1003"/>
      <c r="AF114" s="1003"/>
      <c r="AG114" s="1003"/>
    </row>
    <row r="115" spans="1:33" x14ac:dyDescent="0.25">
      <c r="A115" s="991" t="s">
        <v>530</v>
      </c>
      <c r="B115" s="992" t="s">
        <v>523</v>
      </c>
      <c r="C115" s="241"/>
      <c r="D115" s="991"/>
      <c r="E115" s="1002"/>
      <c r="F115" s="253"/>
      <c r="G115" s="253"/>
      <c r="H115" s="253"/>
      <c r="I115" s="253"/>
      <c r="J115" s="253"/>
      <c r="K115" s="253"/>
      <c r="L115" s="253"/>
      <c r="M115" s="253"/>
      <c r="N115" s="253"/>
      <c r="O115" s="243"/>
      <c r="P115" s="252"/>
      <c r="Q115" s="252"/>
      <c r="R115" s="252"/>
      <c r="S115" s="252"/>
      <c r="T115" s="252"/>
      <c r="U115" s="252"/>
      <c r="V115" s="252"/>
      <c r="W115" s="252"/>
      <c r="X115" s="252"/>
      <c r="Y115" s="252"/>
      <c r="Z115" s="252"/>
      <c r="AA115" s="252"/>
      <c r="AB115" s="252"/>
      <c r="AC115" s="252"/>
      <c r="AD115" s="252"/>
      <c r="AE115" s="1003"/>
      <c r="AF115" s="1003"/>
      <c r="AG115" s="1003"/>
    </row>
    <row r="116" spans="1:33" x14ac:dyDescent="0.25">
      <c r="A116" s="991" t="s">
        <v>530</v>
      </c>
      <c r="B116" s="992" t="s">
        <v>524</v>
      </c>
      <c r="C116" s="241"/>
      <c r="D116" s="991"/>
      <c r="E116" s="1002"/>
      <c r="F116" s="253"/>
      <c r="G116" s="253"/>
      <c r="H116" s="253"/>
      <c r="I116" s="253"/>
      <c r="J116" s="253"/>
      <c r="K116" s="253"/>
      <c r="L116" s="253"/>
      <c r="M116" s="253"/>
      <c r="N116" s="253"/>
      <c r="O116" s="253"/>
      <c r="P116" s="243"/>
      <c r="Q116" s="252"/>
      <c r="R116" s="252"/>
      <c r="S116" s="252"/>
      <c r="T116" s="252"/>
      <c r="U116" s="252"/>
      <c r="V116" s="252"/>
      <c r="W116" s="252"/>
      <c r="X116" s="252"/>
      <c r="Y116" s="252"/>
      <c r="Z116" s="252"/>
      <c r="AA116" s="252"/>
      <c r="AB116" s="252"/>
      <c r="AC116" s="252"/>
      <c r="AD116" s="252"/>
      <c r="AE116" s="1003"/>
      <c r="AF116" s="1003"/>
      <c r="AG116" s="1003"/>
    </row>
    <row r="117" spans="1:33" x14ac:dyDescent="0.25">
      <c r="A117" s="991" t="s">
        <v>530</v>
      </c>
      <c r="B117" s="992" t="s">
        <v>525</v>
      </c>
      <c r="C117" s="241"/>
      <c r="D117" s="241"/>
      <c r="E117" s="1002"/>
      <c r="F117" s="253"/>
      <c r="G117" s="253"/>
      <c r="H117" s="253"/>
      <c r="I117" s="253"/>
      <c r="J117" s="253"/>
      <c r="K117" s="253"/>
      <c r="L117" s="253"/>
      <c r="M117" s="253"/>
      <c r="N117" s="253"/>
      <c r="O117" s="253"/>
      <c r="P117" s="253"/>
      <c r="Q117" s="243"/>
      <c r="R117" s="252"/>
      <c r="S117" s="252"/>
      <c r="T117" s="252"/>
      <c r="U117" s="252"/>
      <c r="V117" s="252"/>
      <c r="W117" s="252"/>
      <c r="X117" s="252"/>
      <c r="Y117" s="252"/>
      <c r="Z117" s="252"/>
      <c r="AA117" s="252"/>
      <c r="AB117" s="252"/>
      <c r="AC117" s="252"/>
      <c r="AD117" s="252"/>
      <c r="AE117" s="1003"/>
      <c r="AF117" s="1003"/>
      <c r="AG117" s="1003"/>
    </row>
    <row r="118" spans="1:33" x14ac:dyDescent="0.25">
      <c r="A118" s="991" t="s">
        <v>530</v>
      </c>
      <c r="B118" s="992" t="s">
        <v>526</v>
      </c>
      <c r="C118" s="241"/>
      <c r="D118" s="241"/>
      <c r="E118" s="1002"/>
      <c r="F118" s="253"/>
      <c r="G118" s="253"/>
      <c r="H118" s="253"/>
      <c r="I118" s="253"/>
      <c r="J118" s="253"/>
      <c r="K118" s="253"/>
      <c r="L118" s="253"/>
      <c r="M118" s="253"/>
      <c r="N118" s="253"/>
      <c r="O118" s="253"/>
      <c r="P118" s="253"/>
      <c r="Q118" s="253"/>
      <c r="R118" s="243"/>
      <c r="S118" s="252"/>
      <c r="T118" s="252"/>
      <c r="U118" s="252"/>
      <c r="V118" s="252"/>
      <c r="W118" s="252"/>
      <c r="X118" s="252"/>
      <c r="Y118" s="252"/>
      <c r="Z118" s="252"/>
      <c r="AA118" s="252"/>
      <c r="AB118" s="252"/>
      <c r="AC118" s="252"/>
      <c r="AD118" s="252"/>
      <c r="AE118" s="1003"/>
      <c r="AF118" s="1003"/>
      <c r="AG118" s="1003"/>
    </row>
    <row r="119" spans="1:33" x14ac:dyDescent="0.25">
      <c r="A119" s="991" t="s">
        <v>530</v>
      </c>
      <c r="B119" s="992" t="s">
        <v>527</v>
      </c>
      <c r="C119" s="241"/>
      <c r="D119" s="241"/>
      <c r="E119" s="1002"/>
      <c r="F119" s="253"/>
      <c r="G119" s="253"/>
      <c r="H119" s="253"/>
      <c r="I119" s="253"/>
      <c r="J119" s="253"/>
      <c r="K119" s="253"/>
      <c r="L119" s="253"/>
      <c r="M119" s="253"/>
      <c r="N119" s="253"/>
      <c r="O119" s="253"/>
      <c r="P119" s="253"/>
      <c r="Q119" s="253"/>
      <c r="R119" s="253"/>
      <c r="S119" s="243"/>
      <c r="T119" s="252"/>
      <c r="U119" s="252"/>
      <c r="V119" s="252"/>
      <c r="W119" s="252"/>
      <c r="X119" s="252"/>
      <c r="Y119" s="252"/>
      <c r="Z119" s="252"/>
      <c r="AA119" s="252"/>
      <c r="AB119" s="252"/>
      <c r="AC119" s="252"/>
      <c r="AD119" s="252"/>
      <c r="AE119" s="1003"/>
      <c r="AF119" s="1003"/>
      <c r="AG119" s="1003"/>
    </row>
    <row r="120" spans="1:33" x14ac:dyDescent="0.25">
      <c r="A120" s="991" t="s">
        <v>530</v>
      </c>
      <c r="B120" s="992" t="s">
        <v>531</v>
      </c>
      <c r="C120" s="241"/>
      <c r="D120" s="241"/>
      <c r="E120" s="1005"/>
      <c r="F120" s="253"/>
      <c r="G120" s="253"/>
      <c r="H120" s="253"/>
      <c r="I120" s="253"/>
      <c r="J120" s="253"/>
      <c r="K120" s="253"/>
      <c r="L120" s="253"/>
      <c r="M120" s="253"/>
      <c r="N120" s="253"/>
      <c r="O120" s="253"/>
      <c r="P120" s="253"/>
      <c r="Q120" s="253"/>
      <c r="R120" s="253"/>
      <c r="S120" s="253"/>
      <c r="T120" s="243"/>
      <c r="U120" s="252"/>
      <c r="V120" s="252"/>
      <c r="W120" s="252"/>
      <c r="X120" s="252"/>
      <c r="Y120" s="252"/>
      <c r="Z120" s="252"/>
      <c r="AA120" s="252"/>
      <c r="AB120" s="252"/>
      <c r="AC120" s="252"/>
      <c r="AD120" s="252"/>
      <c r="AE120" s="1003"/>
      <c r="AF120" s="1003"/>
      <c r="AG120" s="1003"/>
    </row>
    <row r="121" spans="1:33" x14ac:dyDescent="0.25">
      <c r="A121" s="991" t="s">
        <v>530</v>
      </c>
      <c r="B121" s="992" t="s">
        <v>532</v>
      </c>
      <c r="C121" s="241"/>
      <c r="D121" s="241"/>
      <c r="E121" s="1005"/>
      <c r="F121" s="253"/>
      <c r="G121" s="253"/>
      <c r="H121" s="253"/>
      <c r="I121" s="253"/>
      <c r="J121" s="253"/>
      <c r="K121" s="253"/>
      <c r="L121" s="253"/>
      <c r="M121" s="253"/>
      <c r="N121" s="253"/>
      <c r="O121" s="253"/>
      <c r="P121" s="253"/>
      <c r="Q121" s="253"/>
      <c r="R121" s="253"/>
      <c r="S121" s="253"/>
      <c r="T121" s="253"/>
      <c r="U121" s="243"/>
      <c r="V121" s="252"/>
      <c r="W121" s="252"/>
      <c r="X121" s="252"/>
      <c r="Y121" s="252"/>
      <c r="Z121" s="252"/>
      <c r="AA121" s="252"/>
      <c r="AB121" s="252"/>
      <c r="AC121" s="252"/>
      <c r="AD121" s="252"/>
      <c r="AE121" s="1003"/>
      <c r="AF121" s="1003"/>
      <c r="AG121" s="1003"/>
    </row>
    <row r="122" spans="1:33" x14ac:dyDescent="0.25">
      <c r="A122" s="991" t="s">
        <v>530</v>
      </c>
      <c r="B122" s="992" t="s">
        <v>533</v>
      </c>
      <c r="C122" s="241"/>
      <c r="D122" s="241"/>
      <c r="E122" s="1005"/>
      <c r="F122" s="253"/>
      <c r="G122" s="253"/>
      <c r="H122" s="253"/>
      <c r="I122" s="253"/>
      <c r="J122" s="253"/>
      <c r="K122" s="253"/>
      <c r="L122" s="253"/>
      <c r="M122" s="253"/>
      <c r="N122" s="253"/>
      <c r="O122" s="253"/>
      <c r="P122" s="253"/>
      <c r="Q122" s="253"/>
      <c r="R122" s="253"/>
      <c r="S122" s="253"/>
      <c r="T122" s="253"/>
      <c r="U122" s="253"/>
      <c r="V122" s="243"/>
      <c r="W122" s="252"/>
      <c r="X122" s="252"/>
      <c r="Y122" s="252"/>
      <c r="Z122" s="252"/>
      <c r="AA122" s="252"/>
      <c r="AB122" s="252"/>
      <c r="AC122" s="252"/>
      <c r="AD122" s="252"/>
      <c r="AE122" s="1003"/>
      <c r="AF122" s="1003"/>
      <c r="AG122" s="1003"/>
    </row>
    <row r="123" spans="1:33" x14ac:dyDescent="0.25">
      <c r="A123" s="991" t="s">
        <v>530</v>
      </c>
      <c r="B123" s="992" t="s">
        <v>543</v>
      </c>
      <c r="C123" s="241"/>
      <c r="D123" s="241"/>
      <c r="E123" s="1005"/>
      <c r="F123" s="253"/>
      <c r="G123" s="253"/>
      <c r="H123" s="253"/>
      <c r="I123" s="253"/>
      <c r="J123" s="253"/>
      <c r="K123" s="253"/>
      <c r="L123" s="253"/>
      <c r="M123" s="253"/>
      <c r="N123" s="253"/>
      <c r="O123" s="253"/>
      <c r="P123" s="253"/>
      <c r="Q123" s="253"/>
      <c r="R123" s="253"/>
      <c r="S123" s="253"/>
      <c r="T123" s="253"/>
      <c r="U123" s="253"/>
      <c r="V123" s="253"/>
      <c r="W123" s="243"/>
      <c r="X123" s="252"/>
      <c r="Y123" s="252"/>
      <c r="Z123" s="252"/>
      <c r="AA123" s="252"/>
      <c r="AB123" s="252"/>
      <c r="AC123" s="252"/>
      <c r="AD123" s="252"/>
      <c r="AE123" s="1003"/>
      <c r="AF123" s="1003"/>
      <c r="AG123" s="1003"/>
    </row>
    <row r="124" spans="1:33" x14ac:dyDescent="0.25">
      <c r="A124" s="991" t="s">
        <v>530</v>
      </c>
      <c r="B124" s="992" t="s">
        <v>544</v>
      </c>
      <c r="C124" s="241"/>
      <c r="D124" s="241"/>
      <c r="E124" s="1005"/>
      <c r="F124" s="253"/>
      <c r="G124" s="253"/>
      <c r="H124" s="253"/>
      <c r="I124" s="253"/>
      <c r="J124" s="253"/>
      <c r="K124" s="253"/>
      <c r="L124" s="253"/>
      <c r="M124" s="253"/>
      <c r="N124" s="253"/>
      <c r="O124" s="253"/>
      <c r="P124" s="253"/>
      <c r="Q124" s="253"/>
      <c r="R124" s="253"/>
      <c r="S124" s="253"/>
      <c r="T124" s="253"/>
      <c r="U124" s="253"/>
      <c r="V124" s="253"/>
      <c r="W124" s="253"/>
      <c r="X124" s="243"/>
      <c r="Y124" s="252"/>
      <c r="Z124" s="252"/>
      <c r="AA124" s="252"/>
      <c r="AB124" s="252"/>
      <c r="AC124" s="252"/>
      <c r="AD124" s="252"/>
      <c r="AE124" s="1003"/>
      <c r="AF124" s="1003"/>
      <c r="AG124" s="1003"/>
    </row>
    <row r="125" spans="1:33" x14ac:dyDescent="0.25">
      <c r="A125" s="991" t="s">
        <v>530</v>
      </c>
      <c r="B125" s="992" t="s">
        <v>545</v>
      </c>
      <c r="C125" s="241"/>
      <c r="D125" s="241"/>
      <c r="E125" s="1005"/>
      <c r="F125" s="253"/>
      <c r="G125" s="253"/>
      <c r="H125" s="253"/>
      <c r="I125" s="253"/>
      <c r="J125" s="253"/>
      <c r="K125" s="253"/>
      <c r="L125" s="253"/>
      <c r="M125" s="253"/>
      <c r="N125" s="253"/>
      <c r="O125" s="253"/>
      <c r="P125" s="253"/>
      <c r="Q125" s="253"/>
      <c r="R125" s="253"/>
      <c r="S125" s="253"/>
      <c r="T125" s="253"/>
      <c r="U125" s="253"/>
      <c r="V125" s="253"/>
      <c r="W125" s="253"/>
      <c r="X125" s="253"/>
      <c r="Y125" s="243"/>
      <c r="Z125" s="252"/>
      <c r="AA125" s="252"/>
      <c r="AB125" s="252"/>
      <c r="AC125" s="252"/>
      <c r="AD125" s="252"/>
      <c r="AE125" s="1003"/>
      <c r="AF125" s="1003"/>
      <c r="AG125" s="1003"/>
    </row>
    <row r="126" spans="1:33" x14ac:dyDescent="0.25">
      <c r="A126" s="991" t="s">
        <v>530</v>
      </c>
      <c r="B126" s="992" t="s">
        <v>1532</v>
      </c>
      <c r="C126" s="241"/>
      <c r="D126" s="241"/>
      <c r="E126" s="1005"/>
      <c r="F126" s="253"/>
      <c r="G126" s="253"/>
      <c r="H126" s="253"/>
      <c r="I126" s="253"/>
      <c r="J126" s="253"/>
      <c r="K126" s="253"/>
      <c r="L126" s="253"/>
      <c r="M126" s="253"/>
      <c r="N126" s="253"/>
      <c r="O126" s="253"/>
      <c r="P126" s="253"/>
      <c r="Q126" s="253"/>
      <c r="R126" s="253"/>
      <c r="S126" s="253"/>
      <c r="T126" s="253"/>
      <c r="U126" s="253"/>
      <c r="V126" s="253"/>
      <c r="W126" s="253"/>
      <c r="X126" s="253"/>
      <c r="Y126" s="253"/>
      <c r="Z126" s="243"/>
      <c r="AA126" s="252"/>
      <c r="AB126" s="252"/>
      <c r="AC126" s="252"/>
      <c r="AD126" s="252"/>
      <c r="AE126" s="241"/>
      <c r="AF126" s="241"/>
      <c r="AG126" s="1003"/>
    </row>
    <row r="127" spans="1:33" x14ac:dyDescent="0.25">
      <c r="A127" s="991" t="s">
        <v>530</v>
      </c>
      <c r="B127" s="992" t="s">
        <v>1533</v>
      </c>
      <c r="C127" s="241"/>
      <c r="D127" s="241"/>
      <c r="E127" s="1005"/>
      <c r="F127" s="253"/>
      <c r="G127" s="253"/>
      <c r="H127" s="253"/>
      <c r="I127" s="253"/>
      <c r="J127" s="253"/>
      <c r="K127" s="253"/>
      <c r="L127" s="253"/>
      <c r="M127" s="253"/>
      <c r="N127" s="253"/>
      <c r="O127" s="253"/>
      <c r="P127" s="253"/>
      <c r="Q127" s="253"/>
      <c r="R127" s="253"/>
      <c r="S127" s="253"/>
      <c r="T127" s="253"/>
      <c r="U127" s="253"/>
      <c r="V127" s="253"/>
      <c r="W127" s="253"/>
      <c r="X127" s="253"/>
      <c r="Y127" s="253"/>
      <c r="Z127" s="253"/>
      <c r="AA127" s="243"/>
      <c r="AB127" s="252"/>
      <c r="AC127" s="252"/>
      <c r="AD127" s="252"/>
      <c r="AE127" s="241"/>
      <c r="AF127" s="241"/>
      <c r="AG127" s="1003"/>
    </row>
    <row r="128" spans="1:33" x14ac:dyDescent="0.25">
      <c r="A128" s="991" t="s">
        <v>530</v>
      </c>
      <c r="B128" s="992" t="s">
        <v>1534</v>
      </c>
      <c r="C128" s="241"/>
      <c r="D128" s="241"/>
      <c r="E128" s="1005"/>
      <c r="F128" s="253"/>
      <c r="G128" s="253"/>
      <c r="H128" s="253"/>
      <c r="I128" s="253"/>
      <c r="J128" s="253"/>
      <c r="K128" s="253"/>
      <c r="L128" s="253"/>
      <c r="M128" s="253"/>
      <c r="N128" s="253"/>
      <c r="O128" s="253"/>
      <c r="P128" s="253"/>
      <c r="Q128" s="253"/>
      <c r="R128" s="253"/>
      <c r="S128" s="253"/>
      <c r="T128" s="253"/>
      <c r="U128" s="253"/>
      <c r="V128" s="253"/>
      <c r="W128" s="253"/>
      <c r="X128" s="253"/>
      <c r="Y128" s="253"/>
      <c r="Z128" s="253"/>
      <c r="AA128" s="253"/>
      <c r="AB128" s="243"/>
      <c r="AC128" s="252"/>
      <c r="AD128" s="252"/>
      <c r="AE128" s="241"/>
      <c r="AF128" s="241"/>
      <c r="AG128" s="1003"/>
    </row>
    <row r="129" spans="1:33" x14ac:dyDescent="0.25">
      <c r="A129" s="991" t="s">
        <v>530</v>
      </c>
      <c r="B129" s="992" t="s">
        <v>1535</v>
      </c>
      <c r="C129" s="241"/>
      <c r="D129" s="241"/>
      <c r="E129" s="1005"/>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43"/>
      <c r="AD129" s="252"/>
      <c r="AE129" s="241"/>
      <c r="AF129" s="241"/>
      <c r="AG129" s="1003"/>
    </row>
    <row r="130" spans="1:33" x14ac:dyDescent="0.25">
      <c r="A130" s="991" t="s">
        <v>530</v>
      </c>
      <c r="B130" s="992" t="s">
        <v>1536</v>
      </c>
      <c r="C130" s="241"/>
      <c r="D130" s="241"/>
      <c r="E130" s="1005"/>
      <c r="F130" s="253"/>
      <c r="G130" s="253"/>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43"/>
      <c r="AE130" s="241"/>
      <c r="AF130" s="241"/>
      <c r="AG130" s="1003"/>
    </row>
    <row r="131" spans="1:33" ht="13" x14ac:dyDescent="0.3">
      <c r="A131" s="995"/>
      <c r="B131" s="996" t="s">
        <v>271</v>
      </c>
      <c r="C131" s="242"/>
      <c r="D131" s="242"/>
      <c r="E131" s="242"/>
      <c r="F131" s="242"/>
      <c r="G131" s="242"/>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row>
    <row r="132" spans="1:33" x14ac:dyDescent="0.25">
      <c r="C132" s="1007"/>
    </row>
    <row r="134" spans="1:33" x14ac:dyDescent="0.25">
      <c r="F134" s="997"/>
    </row>
    <row r="135" spans="1:33" ht="13" x14ac:dyDescent="0.3">
      <c r="B135" s="986" t="s">
        <v>539</v>
      </c>
      <c r="F135" s="987" t="s">
        <v>10</v>
      </c>
    </row>
    <row r="136" spans="1:33" ht="26.15" customHeight="1" x14ac:dyDescent="0.35">
      <c r="A136" s="988"/>
      <c r="B136" s="1001" t="s">
        <v>413</v>
      </c>
      <c r="C136" s="1885" t="s">
        <v>512</v>
      </c>
      <c r="D136" s="1885" t="s">
        <v>513</v>
      </c>
      <c r="E136" s="1885" t="s">
        <v>583</v>
      </c>
      <c r="F136" s="1887" t="s">
        <v>584</v>
      </c>
      <c r="G136" s="1888"/>
      <c r="H136" s="1888"/>
      <c r="I136" s="1888"/>
      <c r="J136" s="1888"/>
      <c r="K136" s="1888"/>
      <c r="L136" s="1888"/>
      <c r="M136" s="1888"/>
      <c r="N136" s="1888"/>
      <c r="O136" s="1888"/>
      <c r="P136" s="1888"/>
      <c r="Q136" s="1888"/>
      <c r="R136" s="1888"/>
      <c r="S136" s="1888"/>
      <c r="T136" s="1888"/>
      <c r="U136" s="1888"/>
      <c r="V136" s="1888"/>
      <c r="W136" s="1888"/>
      <c r="X136" s="1888"/>
      <c r="Y136" s="1888"/>
      <c r="Z136" s="1888"/>
      <c r="AA136" s="1888"/>
      <c r="AB136" s="1888"/>
      <c r="AC136" s="1888"/>
      <c r="AD136" s="1889"/>
      <c r="AE136" s="989" t="s">
        <v>535</v>
      </c>
      <c r="AF136" s="989" t="s">
        <v>528</v>
      </c>
      <c r="AG136" s="989" t="s">
        <v>536</v>
      </c>
    </row>
    <row r="137" spans="1:33" ht="12.9" customHeight="1" x14ac:dyDescent="0.25">
      <c r="A137" s="988"/>
      <c r="B137" s="1001"/>
      <c r="C137" s="1886"/>
      <c r="D137" s="1886"/>
      <c r="E137" s="1886"/>
      <c r="F137" s="990" t="s">
        <v>514</v>
      </c>
      <c r="G137" s="990" t="s">
        <v>515</v>
      </c>
      <c r="H137" s="990" t="s">
        <v>516</v>
      </c>
      <c r="I137" s="990" t="s">
        <v>517</v>
      </c>
      <c r="J137" s="990" t="s">
        <v>518</v>
      </c>
      <c r="K137" s="990" t="s">
        <v>519</v>
      </c>
      <c r="L137" s="990" t="s">
        <v>520</v>
      </c>
      <c r="M137" s="990" t="s">
        <v>521</v>
      </c>
      <c r="N137" s="990" t="s">
        <v>522</v>
      </c>
      <c r="O137" s="990" t="s">
        <v>523</v>
      </c>
      <c r="P137" s="990" t="s">
        <v>524</v>
      </c>
      <c r="Q137" s="990" t="s">
        <v>525</v>
      </c>
      <c r="R137" s="990" t="s">
        <v>526</v>
      </c>
      <c r="S137" s="990" t="s">
        <v>527</v>
      </c>
      <c r="T137" s="990" t="s">
        <v>325</v>
      </c>
      <c r="U137" s="990" t="s">
        <v>503</v>
      </c>
      <c r="V137" s="990" t="s">
        <v>504</v>
      </c>
      <c r="W137" s="990" t="s">
        <v>505</v>
      </c>
      <c r="X137" s="990" t="s">
        <v>506</v>
      </c>
      <c r="Y137" s="990" t="s">
        <v>507</v>
      </c>
      <c r="Z137" s="990" t="s">
        <v>1067</v>
      </c>
      <c r="AA137" s="990" t="s">
        <v>1068</v>
      </c>
      <c r="AB137" s="990" t="s">
        <v>1069</v>
      </c>
      <c r="AC137" s="990" t="s">
        <v>1070</v>
      </c>
      <c r="AD137" s="990" t="s">
        <v>1071</v>
      </c>
      <c r="AE137" s="989"/>
      <c r="AF137" s="989"/>
      <c r="AG137" s="989"/>
    </row>
    <row r="138" spans="1:33" x14ac:dyDescent="0.25">
      <c r="A138" s="991" t="s">
        <v>529</v>
      </c>
      <c r="B138" s="992">
        <v>2005</v>
      </c>
      <c r="C138" s="991"/>
      <c r="D138" s="991"/>
      <c r="E138" s="1002"/>
      <c r="F138" s="252"/>
      <c r="G138" s="252"/>
      <c r="H138" s="252"/>
      <c r="I138" s="252"/>
      <c r="J138" s="252"/>
      <c r="K138" s="252"/>
      <c r="L138" s="252"/>
      <c r="M138" s="252"/>
      <c r="N138" s="252"/>
      <c r="O138" s="252"/>
      <c r="P138" s="252"/>
      <c r="Q138" s="252"/>
      <c r="R138" s="252"/>
      <c r="S138" s="252"/>
      <c r="T138" s="252"/>
      <c r="U138" s="252"/>
      <c r="V138" s="252"/>
      <c r="W138" s="252"/>
      <c r="X138" s="252"/>
      <c r="Y138" s="252"/>
      <c r="Z138" s="252"/>
      <c r="AA138" s="252"/>
      <c r="AB138" s="252"/>
      <c r="AC138" s="252"/>
      <c r="AD138" s="252"/>
      <c r="AE138" s="1003"/>
      <c r="AF138" s="1003"/>
      <c r="AG138" s="1003"/>
    </row>
    <row r="139" spans="1:33" x14ac:dyDescent="0.25">
      <c r="A139" s="991" t="s">
        <v>530</v>
      </c>
      <c r="B139" s="992" t="s">
        <v>514</v>
      </c>
      <c r="C139" s="991"/>
      <c r="D139" s="991"/>
      <c r="E139" s="1002"/>
      <c r="F139" s="243"/>
      <c r="G139" s="252"/>
      <c r="H139" s="252"/>
      <c r="I139" s="252"/>
      <c r="J139" s="252"/>
      <c r="K139" s="252"/>
      <c r="L139" s="252"/>
      <c r="M139" s="252"/>
      <c r="N139" s="252"/>
      <c r="O139" s="252"/>
      <c r="P139" s="252"/>
      <c r="Q139" s="252"/>
      <c r="R139" s="252"/>
      <c r="S139" s="252"/>
      <c r="T139" s="252"/>
      <c r="U139" s="252"/>
      <c r="V139" s="252"/>
      <c r="W139" s="252"/>
      <c r="X139" s="252"/>
      <c r="Y139" s="252"/>
      <c r="Z139" s="252"/>
      <c r="AA139" s="252"/>
      <c r="AB139" s="252"/>
      <c r="AC139" s="252"/>
      <c r="AD139" s="252"/>
      <c r="AE139" s="1003"/>
      <c r="AF139" s="1003"/>
      <c r="AG139" s="1003"/>
    </row>
    <row r="140" spans="1:33" x14ac:dyDescent="0.25">
      <c r="A140" s="991" t="s">
        <v>530</v>
      </c>
      <c r="B140" s="992" t="s">
        <v>515</v>
      </c>
      <c r="C140" s="991"/>
      <c r="D140" s="991"/>
      <c r="E140" s="1002"/>
      <c r="F140" s="253"/>
      <c r="G140" s="243"/>
      <c r="H140" s="252"/>
      <c r="I140" s="252"/>
      <c r="J140" s="252"/>
      <c r="K140" s="252"/>
      <c r="L140" s="252"/>
      <c r="M140" s="252"/>
      <c r="N140" s="252"/>
      <c r="O140" s="252"/>
      <c r="P140" s="252"/>
      <c r="Q140" s="252"/>
      <c r="R140" s="252"/>
      <c r="S140" s="252"/>
      <c r="T140" s="252"/>
      <c r="U140" s="252"/>
      <c r="V140" s="252"/>
      <c r="W140" s="252"/>
      <c r="X140" s="252"/>
      <c r="Y140" s="252"/>
      <c r="Z140" s="252"/>
      <c r="AA140" s="252"/>
      <c r="AB140" s="252"/>
      <c r="AC140" s="252"/>
      <c r="AD140" s="252"/>
      <c r="AE140" s="1003"/>
      <c r="AF140" s="1003"/>
      <c r="AG140" s="1003"/>
    </row>
    <row r="141" spans="1:33" x14ac:dyDescent="0.25">
      <c r="A141" s="991" t="s">
        <v>530</v>
      </c>
      <c r="B141" s="992" t="s">
        <v>516</v>
      </c>
      <c r="C141" s="991"/>
      <c r="D141" s="991"/>
      <c r="E141" s="1002"/>
      <c r="F141" s="253"/>
      <c r="G141" s="253"/>
      <c r="H141" s="243"/>
      <c r="I141" s="252"/>
      <c r="J141" s="252"/>
      <c r="K141" s="252"/>
      <c r="L141" s="252"/>
      <c r="M141" s="252"/>
      <c r="N141" s="252"/>
      <c r="O141" s="252"/>
      <c r="P141" s="252"/>
      <c r="Q141" s="252"/>
      <c r="R141" s="252"/>
      <c r="S141" s="252"/>
      <c r="T141" s="252"/>
      <c r="U141" s="252"/>
      <c r="V141" s="252"/>
      <c r="W141" s="252"/>
      <c r="X141" s="252"/>
      <c r="Y141" s="252"/>
      <c r="Z141" s="252"/>
      <c r="AA141" s="252"/>
      <c r="AB141" s="252"/>
      <c r="AC141" s="252"/>
      <c r="AD141" s="252"/>
      <c r="AE141" s="1003"/>
      <c r="AF141" s="1003"/>
      <c r="AG141" s="1003"/>
    </row>
    <row r="142" spans="1:33" x14ac:dyDescent="0.25">
      <c r="A142" s="991" t="s">
        <v>530</v>
      </c>
      <c r="B142" s="992" t="s">
        <v>517</v>
      </c>
      <c r="C142" s="991"/>
      <c r="D142" s="991"/>
      <c r="E142" s="1002"/>
      <c r="F142" s="253"/>
      <c r="G142" s="253"/>
      <c r="H142" s="253"/>
      <c r="I142" s="243"/>
      <c r="J142" s="252"/>
      <c r="K142" s="252"/>
      <c r="L142" s="252"/>
      <c r="M142" s="252"/>
      <c r="N142" s="252"/>
      <c r="O142" s="252"/>
      <c r="P142" s="252"/>
      <c r="Q142" s="252"/>
      <c r="R142" s="252"/>
      <c r="S142" s="252"/>
      <c r="T142" s="252"/>
      <c r="U142" s="252"/>
      <c r="V142" s="252"/>
      <c r="W142" s="252"/>
      <c r="X142" s="252"/>
      <c r="Y142" s="252"/>
      <c r="Z142" s="252"/>
      <c r="AA142" s="252"/>
      <c r="AB142" s="252"/>
      <c r="AC142" s="252"/>
      <c r="AD142" s="252"/>
      <c r="AE142" s="1003"/>
      <c r="AF142" s="1003"/>
      <c r="AG142" s="1003"/>
    </row>
    <row r="143" spans="1:33" x14ac:dyDescent="0.25">
      <c r="A143" s="991" t="s">
        <v>530</v>
      </c>
      <c r="B143" s="992" t="s">
        <v>518</v>
      </c>
      <c r="C143" s="991"/>
      <c r="D143" s="991"/>
      <c r="E143" s="1002"/>
      <c r="F143" s="253"/>
      <c r="G143" s="253"/>
      <c r="H143" s="253"/>
      <c r="I143" s="253"/>
      <c r="J143" s="243"/>
      <c r="K143" s="252"/>
      <c r="L143" s="252"/>
      <c r="M143" s="252"/>
      <c r="N143" s="252"/>
      <c r="O143" s="252"/>
      <c r="P143" s="252"/>
      <c r="Q143" s="252"/>
      <c r="R143" s="252"/>
      <c r="S143" s="252"/>
      <c r="T143" s="252"/>
      <c r="U143" s="252"/>
      <c r="V143" s="252"/>
      <c r="W143" s="252"/>
      <c r="X143" s="252"/>
      <c r="Y143" s="252"/>
      <c r="Z143" s="252"/>
      <c r="AA143" s="252"/>
      <c r="AB143" s="252"/>
      <c r="AC143" s="252"/>
      <c r="AD143" s="252"/>
      <c r="AE143" s="1003"/>
      <c r="AF143" s="1003"/>
      <c r="AG143" s="1003"/>
    </row>
    <row r="144" spans="1:33" x14ac:dyDescent="0.25">
      <c r="A144" s="991" t="s">
        <v>530</v>
      </c>
      <c r="B144" s="992" t="s">
        <v>519</v>
      </c>
      <c r="C144" s="991"/>
      <c r="D144" s="991"/>
      <c r="E144" s="1002"/>
      <c r="F144" s="253"/>
      <c r="G144" s="253"/>
      <c r="H144" s="253"/>
      <c r="I144" s="253"/>
      <c r="J144" s="253"/>
      <c r="K144" s="243"/>
      <c r="L144" s="252"/>
      <c r="M144" s="252"/>
      <c r="N144" s="252"/>
      <c r="O144" s="252"/>
      <c r="P144" s="252"/>
      <c r="Q144" s="252"/>
      <c r="R144" s="252"/>
      <c r="S144" s="252"/>
      <c r="T144" s="252"/>
      <c r="U144" s="252"/>
      <c r="V144" s="252"/>
      <c r="W144" s="252"/>
      <c r="X144" s="252"/>
      <c r="Y144" s="252"/>
      <c r="Z144" s="252"/>
      <c r="AA144" s="252"/>
      <c r="AB144" s="252"/>
      <c r="AC144" s="252"/>
      <c r="AD144" s="252"/>
      <c r="AE144" s="1003"/>
      <c r="AF144" s="1003"/>
      <c r="AG144" s="1003"/>
    </row>
    <row r="145" spans="1:33" x14ac:dyDescent="0.25">
      <c r="A145" s="991" t="s">
        <v>530</v>
      </c>
      <c r="B145" s="992" t="s">
        <v>520</v>
      </c>
      <c r="C145" s="991"/>
      <c r="D145" s="991"/>
      <c r="E145" s="1002"/>
      <c r="F145" s="253"/>
      <c r="G145" s="253"/>
      <c r="H145" s="253"/>
      <c r="I145" s="253"/>
      <c r="J145" s="253"/>
      <c r="K145" s="253"/>
      <c r="L145" s="243"/>
      <c r="M145" s="252"/>
      <c r="N145" s="252"/>
      <c r="O145" s="252"/>
      <c r="P145" s="252"/>
      <c r="Q145" s="252"/>
      <c r="R145" s="252"/>
      <c r="S145" s="252"/>
      <c r="T145" s="252"/>
      <c r="U145" s="252"/>
      <c r="V145" s="252"/>
      <c r="W145" s="252"/>
      <c r="X145" s="252"/>
      <c r="Y145" s="252"/>
      <c r="Z145" s="252"/>
      <c r="AA145" s="252"/>
      <c r="AB145" s="252"/>
      <c r="AC145" s="252"/>
      <c r="AD145" s="252"/>
      <c r="AE145" s="1003"/>
      <c r="AF145" s="1003"/>
      <c r="AG145" s="1003"/>
    </row>
    <row r="146" spans="1:33" x14ac:dyDescent="0.25">
      <c r="A146" s="991" t="s">
        <v>530</v>
      </c>
      <c r="B146" s="992" t="s">
        <v>521</v>
      </c>
      <c r="C146" s="991"/>
      <c r="D146" s="991"/>
      <c r="E146" s="1002"/>
      <c r="F146" s="253"/>
      <c r="G146" s="253"/>
      <c r="H146" s="253"/>
      <c r="I146" s="253"/>
      <c r="J146" s="253"/>
      <c r="K146" s="253"/>
      <c r="L146" s="253"/>
      <c r="M146" s="243"/>
      <c r="N146" s="252"/>
      <c r="O146" s="252"/>
      <c r="P146" s="252"/>
      <c r="Q146" s="252"/>
      <c r="R146" s="252"/>
      <c r="S146" s="252"/>
      <c r="T146" s="252"/>
      <c r="U146" s="252"/>
      <c r="V146" s="252"/>
      <c r="W146" s="252"/>
      <c r="X146" s="252"/>
      <c r="Y146" s="252"/>
      <c r="Z146" s="252"/>
      <c r="AA146" s="252"/>
      <c r="AB146" s="252"/>
      <c r="AC146" s="252"/>
      <c r="AD146" s="252"/>
      <c r="AE146" s="1003"/>
      <c r="AF146" s="1003"/>
      <c r="AG146" s="1003"/>
    </row>
    <row r="147" spans="1:33" x14ac:dyDescent="0.25">
      <c r="A147" s="991" t="s">
        <v>530</v>
      </c>
      <c r="B147" s="992" t="s">
        <v>522</v>
      </c>
      <c r="C147" s="991"/>
      <c r="D147" s="991"/>
      <c r="E147" s="1002"/>
      <c r="F147" s="253"/>
      <c r="G147" s="253"/>
      <c r="H147" s="253"/>
      <c r="I147" s="253"/>
      <c r="J147" s="253"/>
      <c r="K147" s="253"/>
      <c r="L147" s="253"/>
      <c r="M147" s="253"/>
      <c r="N147" s="243"/>
      <c r="O147" s="252"/>
      <c r="P147" s="252"/>
      <c r="Q147" s="252"/>
      <c r="R147" s="252"/>
      <c r="S147" s="252"/>
      <c r="T147" s="252"/>
      <c r="U147" s="252"/>
      <c r="V147" s="252"/>
      <c r="W147" s="252"/>
      <c r="X147" s="252"/>
      <c r="Y147" s="252"/>
      <c r="Z147" s="252"/>
      <c r="AA147" s="252"/>
      <c r="AB147" s="252"/>
      <c r="AC147" s="252"/>
      <c r="AD147" s="252"/>
      <c r="AE147" s="1003"/>
      <c r="AF147" s="1003"/>
      <c r="AG147" s="1003"/>
    </row>
    <row r="148" spans="1:33" x14ac:dyDescent="0.25">
      <c r="A148" s="991" t="s">
        <v>530</v>
      </c>
      <c r="B148" s="992" t="s">
        <v>523</v>
      </c>
      <c r="C148" s="241"/>
      <c r="D148" s="991"/>
      <c r="E148" s="1002"/>
      <c r="F148" s="253"/>
      <c r="G148" s="253"/>
      <c r="H148" s="253"/>
      <c r="I148" s="253"/>
      <c r="J148" s="253"/>
      <c r="K148" s="253"/>
      <c r="L148" s="253"/>
      <c r="M148" s="253"/>
      <c r="N148" s="253"/>
      <c r="O148" s="243"/>
      <c r="P148" s="252"/>
      <c r="Q148" s="252"/>
      <c r="R148" s="252"/>
      <c r="S148" s="252"/>
      <c r="T148" s="252"/>
      <c r="U148" s="252"/>
      <c r="V148" s="252"/>
      <c r="W148" s="252"/>
      <c r="X148" s="252"/>
      <c r="Y148" s="252"/>
      <c r="Z148" s="252"/>
      <c r="AA148" s="252"/>
      <c r="AB148" s="252"/>
      <c r="AC148" s="252"/>
      <c r="AD148" s="252"/>
      <c r="AE148" s="1003"/>
      <c r="AF148" s="1003"/>
      <c r="AG148" s="1003"/>
    </row>
    <row r="149" spans="1:33" x14ac:dyDescent="0.25">
      <c r="A149" s="991" t="s">
        <v>530</v>
      </c>
      <c r="B149" s="992" t="s">
        <v>524</v>
      </c>
      <c r="C149" s="241"/>
      <c r="D149" s="991"/>
      <c r="E149" s="1002"/>
      <c r="F149" s="253"/>
      <c r="G149" s="253"/>
      <c r="H149" s="253"/>
      <c r="I149" s="253"/>
      <c r="J149" s="253"/>
      <c r="K149" s="253"/>
      <c r="L149" s="253"/>
      <c r="M149" s="253"/>
      <c r="N149" s="253"/>
      <c r="O149" s="253"/>
      <c r="P149" s="243"/>
      <c r="Q149" s="252"/>
      <c r="R149" s="252"/>
      <c r="S149" s="252"/>
      <c r="T149" s="252"/>
      <c r="U149" s="252"/>
      <c r="V149" s="252"/>
      <c r="W149" s="252"/>
      <c r="X149" s="252"/>
      <c r="Y149" s="252"/>
      <c r="Z149" s="252"/>
      <c r="AA149" s="252"/>
      <c r="AB149" s="252"/>
      <c r="AC149" s="252"/>
      <c r="AD149" s="252"/>
      <c r="AE149" s="1003"/>
      <c r="AF149" s="1003"/>
      <c r="AG149" s="1003"/>
    </row>
    <row r="150" spans="1:33" x14ac:dyDescent="0.25">
      <c r="A150" s="991" t="s">
        <v>530</v>
      </c>
      <c r="B150" s="992" t="s">
        <v>525</v>
      </c>
      <c r="C150" s="241"/>
      <c r="D150" s="241"/>
      <c r="E150" s="1002"/>
      <c r="F150" s="253"/>
      <c r="G150" s="253"/>
      <c r="H150" s="253"/>
      <c r="I150" s="253"/>
      <c r="J150" s="253"/>
      <c r="K150" s="253"/>
      <c r="L150" s="253"/>
      <c r="M150" s="253"/>
      <c r="N150" s="253"/>
      <c r="O150" s="253"/>
      <c r="P150" s="253"/>
      <c r="Q150" s="243"/>
      <c r="R150" s="252"/>
      <c r="S150" s="252"/>
      <c r="T150" s="252"/>
      <c r="U150" s="252"/>
      <c r="V150" s="252"/>
      <c r="W150" s="252"/>
      <c r="X150" s="252"/>
      <c r="Y150" s="252"/>
      <c r="Z150" s="252"/>
      <c r="AA150" s="252"/>
      <c r="AB150" s="252"/>
      <c r="AC150" s="252"/>
      <c r="AD150" s="252"/>
      <c r="AE150" s="1003"/>
      <c r="AF150" s="1003"/>
      <c r="AG150" s="1003"/>
    </row>
    <row r="151" spans="1:33" x14ac:dyDescent="0.25">
      <c r="A151" s="991" t="s">
        <v>530</v>
      </c>
      <c r="B151" s="992" t="s">
        <v>526</v>
      </c>
      <c r="C151" s="241"/>
      <c r="D151" s="241"/>
      <c r="E151" s="1002"/>
      <c r="F151" s="253"/>
      <c r="G151" s="253"/>
      <c r="H151" s="253"/>
      <c r="I151" s="253"/>
      <c r="J151" s="253"/>
      <c r="K151" s="253"/>
      <c r="L151" s="253"/>
      <c r="M151" s="253"/>
      <c r="N151" s="253"/>
      <c r="O151" s="253"/>
      <c r="P151" s="253"/>
      <c r="Q151" s="253"/>
      <c r="R151" s="243"/>
      <c r="S151" s="252"/>
      <c r="T151" s="252"/>
      <c r="U151" s="252"/>
      <c r="V151" s="252"/>
      <c r="W151" s="252"/>
      <c r="X151" s="252"/>
      <c r="Y151" s="252"/>
      <c r="Z151" s="252"/>
      <c r="AA151" s="252"/>
      <c r="AB151" s="252"/>
      <c r="AC151" s="252"/>
      <c r="AD151" s="252"/>
      <c r="AE151" s="1003"/>
      <c r="AF151" s="1003"/>
      <c r="AG151" s="1003"/>
    </row>
    <row r="152" spans="1:33" x14ac:dyDescent="0.25">
      <c r="A152" s="991" t="s">
        <v>530</v>
      </c>
      <c r="B152" s="992" t="s">
        <v>527</v>
      </c>
      <c r="C152" s="241"/>
      <c r="D152" s="241"/>
      <c r="E152" s="1002"/>
      <c r="F152" s="253"/>
      <c r="G152" s="253"/>
      <c r="H152" s="253"/>
      <c r="I152" s="253"/>
      <c r="J152" s="253"/>
      <c r="K152" s="253"/>
      <c r="L152" s="253"/>
      <c r="M152" s="253"/>
      <c r="N152" s="253"/>
      <c r="O152" s="253"/>
      <c r="P152" s="253"/>
      <c r="Q152" s="253"/>
      <c r="R152" s="253"/>
      <c r="S152" s="243"/>
      <c r="T152" s="252"/>
      <c r="U152" s="252"/>
      <c r="V152" s="252"/>
      <c r="W152" s="252"/>
      <c r="X152" s="252"/>
      <c r="Y152" s="252"/>
      <c r="Z152" s="252"/>
      <c r="AA152" s="252"/>
      <c r="AB152" s="252"/>
      <c r="AC152" s="252"/>
      <c r="AD152" s="252"/>
      <c r="AE152" s="1003"/>
      <c r="AF152" s="1003"/>
      <c r="AG152" s="1003"/>
    </row>
    <row r="153" spans="1:33" x14ac:dyDescent="0.25">
      <c r="A153" s="991" t="s">
        <v>530</v>
      </c>
      <c r="B153" s="992" t="s">
        <v>531</v>
      </c>
      <c r="C153" s="241"/>
      <c r="D153" s="241"/>
      <c r="E153" s="1005"/>
      <c r="F153" s="253"/>
      <c r="G153" s="253"/>
      <c r="H153" s="253"/>
      <c r="I153" s="253"/>
      <c r="J153" s="253"/>
      <c r="K153" s="253"/>
      <c r="L153" s="253"/>
      <c r="M153" s="253"/>
      <c r="N153" s="253"/>
      <c r="O153" s="253"/>
      <c r="P153" s="253"/>
      <c r="Q153" s="253"/>
      <c r="R153" s="253"/>
      <c r="S153" s="253"/>
      <c r="T153" s="243"/>
      <c r="U153" s="252"/>
      <c r="V153" s="252"/>
      <c r="W153" s="252"/>
      <c r="X153" s="252"/>
      <c r="Y153" s="252"/>
      <c r="Z153" s="252"/>
      <c r="AA153" s="252"/>
      <c r="AB153" s="252"/>
      <c r="AC153" s="252"/>
      <c r="AD153" s="252"/>
      <c r="AE153" s="1003"/>
      <c r="AF153" s="1003"/>
      <c r="AG153" s="1003"/>
    </row>
    <row r="154" spans="1:33" x14ac:dyDescent="0.25">
      <c r="A154" s="991" t="s">
        <v>530</v>
      </c>
      <c r="B154" s="992" t="s">
        <v>532</v>
      </c>
      <c r="C154" s="241"/>
      <c r="D154" s="241"/>
      <c r="E154" s="1005"/>
      <c r="F154" s="253"/>
      <c r="G154" s="253"/>
      <c r="H154" s="253"/>
      <c r="I154" s="253"/>
      <c r="J154" s="253"/>
      <c r="K154" s="253"/>
      <c r="L154" s="253"/>
      <c r="M154" s="253"/>
      <c r="N154" s="253"/>
      <c r="O154" s="253"/>
      <c r="P154" s="253"/>
      <c r="Q154" s="253"/>
      <c r="R154" s="253"/>
      <c r="S154" s="253"/>
      <c r="T154" s="253"/>
      <c r="U154" s="243"/>
      <c r="V154" s="252"/>
      <c r="W154" s="252"/>
      <c r="X154" s="252"/>
      <c r="Y154" s="252"/>
      <c r="Z154" s="252"/>
      <c r="AA154" s="252"/>
      <c r="AB154" s="252"/>
      <c r="AC154" s="252"/>
      <c r="AD154" s="252"/>
      <c r="AE154" s="1003"/>
      <c r="AF154" s="1003"/>
      <c r="AG154" s="1003"/>
    </row>
    <row r="155" spans="1:33" x14ac:dyDescent="0.25">
      <c r="A155" s="991" t="s">
        <v>530</v>
      </c>
      <c r="B155" s="992" t="s">
        <v>533</v>
      </c>
      <c r="C155" s="241"/>
      <c r="D155" s="241"/>
      <c r="E155" s="1005"/>
      <c r="F155" s="253"/>
      <c r="G155" s="253"/>
      <c r="H155" s="253"/>
      <c r="I155" s="253"/>
      <c r="J155" s="253"/>
      <c r="K155" s="253"/>
      <c r="L155" s="253"/>
      <c r="M155" s="253"/>
      <c r="N155" s="253"/>
      <c r="O155" s="253"/>
      <c r="P155" s="253"/>
      <c r="Q155" s="253"/>
      <c r="R155" s="253"/>
      <c r="S155" s="253"/>
      <c r="T155" s="253"/>
      <c r="U155" s="253"/>
      <c r="V155" s="243"/>
      <c r="W155" s="252"/>
      <c r="X155" s="252"/>
      <c r="Y155" s="252"/>
      <c r="Z155" s="252"/>
      <c r="AA155" s="252"/>
      <c r="AB155" s="252"/>
      <c r="AC155" s="252"/>
      <c r="AD155" s="252"/>
      <c r="AE155" s="1003"/>
      <c r="AF155" s="1003"/>
      <c r="AG155" s="1003"/>
    </row>
    <row r="156" spans="1:33" x14ac:dyDescent="0.25">
      <c r="A156" s="991" t="s">
        <v>530</v>
      </c>
      <c r="B156" s="992" t="s">
        <v>543</v>
      </c>
      <c r="C156" s="241"/>
      <c r="D156" s="241"/>
      <c r="E156" s="1005"/>
      <c r="F156" s="253"/>
      <c r="G156" s="253"/>
      <c r="H156" s="253"/>
      <c r="I156" s="253"/>
      <c r="J156" s="253"/>
      <c r="K156" s="253"/>
      <c r="L156" s="253"/>
      <c r="M156" s="253"/>
      <c r="N156" s="253"/>
      <c r="O156" s="253"/>
      <c r="P156" s="253"/>
      <c r="Q156" s="253"/>
      <c r="R156" s="253"/>
      <c r="S156" s="253"/>
      <c r="T156" s="253"/>
      <c r="U156" s="253"/>
      <c r="V156" s="253"/>
      <c r="W156" s="243"/>
      <c r="X156" s="252"/>
      <c r="Y156" s="252"/>
      <c r="Z156" s="252"/>
      <c r="AA156" s="252"/>
      <c r="AB156" s="252"/>
      <c r="AC156" s="252"/>
      <c r="AD156" s="252"/>
      <c r="AE156" s="1003"/>
      <c r="AF156" s="1003"/>
      <c r="AG156" s="1003"/>
    </row>
    <row r="157" spans="1:33" x14ac:dyDescent="0.25">
      <c r="A157" s="991" t="s">
        <v>530</v>
      </c>
      <c r="B157" s="992" t="s">
        <v>544</v>
      </c>
      <c r="C157" s="241"/>
      <c r="D157" s="241"/>
      <c r="E157" s="1005"/>
      <c r="F157" s="253"/>
      <c r="G157" s="253"/>
      <c r="H157" s="253"/>
      <c r="I157" s="253"/>
      <c r="J157" s="253"/>
      <c r="K157" s="253"/>
      <c r="L157" s="253"/>
      <c r="M157" s="253"/>
      <c r="N157" s="253"/>
      <c r="O157" s="253"/>
      <c r="P157" s="253"/>
      <c r="Q157" s="253"/>
      <c r="R157" s="253"/>
      <c r="S157" s="253"/>
      <c r="T157" s="253"/>
      <c r="U157" s="253"/>
      <c r="V157" s="253"/>
      <c r="W157" s="253"/>
      <c r="X157" s="243"/>
      <c r="Y157" s="252"/>
      <c r="Z157" s="252"/>
      <c r="AA157" s="252"/>
      <c r="AB157" s="252"/>
      <c r="AC157" s="252"/>
      <c r="AD157" s="252"/>
      <c r="AE157" s="1003"/>
      <c r="AF157" s="1003"/>
      <c r="AG157" s="1003"/>
    </row>
    <row r="158" spans="1:33" x14ac:dyDescent="0.25">
      <c r="A158" s="991" t="s">
        <v>530</v>
      </c>
      <c r="B158" s="992" t="s">
        <v>545</v>
      </c>
      <c r="C158" s="241"/>
      <c r="D158" s="241"/>
      <c r="E158" s="1005"/>
      <c r="F158" s="253"/>
      <c r="G158" s="253"/>
      <c r="H158" s="253"/>
      <c r="I158" s="253"/>
      <c r="J158" s="253"/>
      <c r="K158" s="253"/>
      <c r="L158" s="253"/>
      <c r="M158" s="253"/>
      <c r="N158" s="253"/>
      <c r="O158" s="253"/>
      <c r="P158" s="253"/>
      <c r="Q158" s="253"/>
      <c r="R158" s="253"/>
      <c r="S158" s="253"/>
      <c r="T158" s="253"/>
      <c r="U158" s="253"/>
      <c r="V158" s="253"/>
      <c r="W158" s="253"/>
      <c r="X158" s="253"/>
      <c r="Y158" s="243"/>
      <c r="Z158" s="252"/>
      <c r="AA158" s="252"/>
      <c r="AB158" s="252"/>
      <c r="AC158" s="252"/>
      <c r="AD158" s="252"/>
      <c r="AE158" s="1003"/>
      <c r="AF158" s="1003"/>
      <c r="AG158" s="1003"/>
    </row>
    <row r="159" spans="1:33" x14ac:dyDescent="0.25">
      <c r="A159" s="991" t="s">
        <v>530</v>
      </c>
      <c r="B159" s="992" t="s">
        <v>1532</v>
      </c>
      <c r="C159" s="241"/>
      <c r="D159" s="241"/>
      <c r="E159" s="1005"/>
      <c r="F159" s="253"/>
      <c r="G159" s="253"/>
      <c r="H159" s="253"/>
      <c r="I159" s="253"/>
      <c r="J159" s="253"/>
      <c r="K159" s="253"/>
      <c r="L159" s="253"/>
      <c r="M159" s="253"/>
      <c r="N159" s="253"/>
      <c r="O159" s="253"/>
      <c r="P159" s="253"/>
      <c r="Q159" s="253"/>
      <c r="R159" s="253"/>
      <c r="S159" s="253"/>
      <c r="T159" s="253"/>
      <c r="U159" s="253"/>
      <c r="V159" s="253"/>
      <c r="W159" s="253"/>
      <c r="X159" s="253"/>
      <c r="Y159" s="253"/>
      <c r="Z159" s="243"/>
      <c r="AA159" s="252"/>
      <c r="AB159" s="252"/>
      <c r="AC159" s="252"/>
      <c r="AD159" s="252"/>
      <c r="AE159" s="241"/>
      <c r="AF159" s="241"/>
      <c r="AG159" s="1003"/>
    </row>
    <row r="160" spans="1:33" x14ac:dyDescent="0.25">
      <c r="A160" s="991" t="s">
        <v>530</v>
      </c>
      <c r="B160" s="992" t="s">
        <v>1533</v>
      </c>
      <c r="C160" s="241"/>
      <c r="D160" s="241"/>
      <c r="E160" s="1005"/>
      <c r="F160" s="253"/>
      <c r="G160" s="253"/>
      <c r="H160" s="253"/>
      <c r="I160" s="253"/>
      <c r="J160" s="253"/>
      <c r="K160" s="253"/>
      <c r="L160" s="253"/>
      <c r="M160" s="253"/>
      <c r="N160" s="253"/>
      <c r="O160" s="253"/>
      <c r="P160" s="253"/>
      <c r="Q160" s="253"/>
      <c r="R160" s="253"/>
      <c r="S160" s="253"/>
      <c r="T160" s="253"/>
      <c r="U160" s="253"/>
      <c r="V160" s="253"/>
      <c r="W160" s="253"/>
      <c r="X160" s="253"/>
      <c r="Y160" s="253"/>
      <c r="Z160" s="253"/>
      <c r="AA160" s="243"/>
      <c r="AB160" s="252"/>
      <c r="AC160" s="252"/>
      <c r="AD160" s="252"/>
      <c r="AE160" s="241"/>
      <c r="AF160" s="241"/>
      <c r="AG160" s="1003"/>
    </row>
    <row r="161" spans="1:33" x14ac:dyDescent="0.25">
      <c r="A161" s="991" t="s">
        <v>530</v>
      </c>
      <c r="B161" s="992" t="s">
        <v>1534</v>
      </c>
      <c r="C161" s="241"/>
      <c r="D161" s="241"/>
      <c r="E161" s="1005"/>
      <c r="F161" s="253"/>
      <c r="G161" s="253"/>
      <c r="H161" s="253"/>
      <c r="I161" s="253"/>
      <c r="J161" s="253"/>
      <c r="K161" s="253"/>
      <c r="L161" s="253"/>
      <c r="M161" s="253"/>
      <c r="N161" s="253"/>
      <c r="O161" s="253"/>
      <c r="P161" s="253"/>
      <c r="Q161" s="253"/>
      <c r="R161" s="253"/>
      <c r="S161" s="253"/>
      <c r="T161" s="253"/>
      <c r="U161" s="253"/>
      <c r="V161" s="253"/>
      <c r="W161" s="253"/>
      <c r="X161" s="253"/>
      <c r="Y161" s="253"/>
      <c r="Z161" s="253"/>
      <c r="AA161" s="253"/>
      <c r="AB161" s="243"/>
      <c r="AC161" s="252"/>
      <c r="AD161" s="252"/>
      <c r="AE161" s="241"/>
      <c r="AF161" s="241"/>
      <c r="AG161" s="1003"/>
    </row>
    <row r="162" spans="1:33" x14ac:dyDescent="0.25">
      <c r="A162" s="991" t="s">
        <v>530</v>
      </c>
      <c r="B162" s="992" t="s">
        <v>1535</v>
      </c>
      <c r="C162" s="241"/>
      <c r="D162" s="241"/>
      <c r="E162" s="1005"/>
      <c r="F162" s="253"/>
      <c r="G162" s="253"/>
      <c r="H162" s="253"/>
      <c r="I162" s="253"/>
      <c r="J162" s="253"/>
      <c r="K162" s="253"/>
      <c r="L162" s="253"/>
      <c r="M162" s="253"/>
      <c r="N162" s="253"/>
      <c r="O162" s="253"/>
      <c r="P162" s="253"/>
      <c r="Q162" s="253"/>
      <c r="R162" s="253"/>
      <c r="S162" s="253"/>
      <c r="T162" s="253"/>
      <c r="U162" s="253"/>
      <c r="V162" s="253"/>
      <c r="W162" s="253"/>
      <c r="X162" s="253"/>
      <c r="Y162" s="253"/>
      <c r="Z162" s="253"/>
      <c r="AA162" s="253"/>
      <c r="AB162" s="253"/>
      <c r="AC162" s="243"/>
      <c r="AD162" s="252"/>
      <c r="AE162" s="241"/>
      <c r="AF162" s="241"/>
      <c r="AG162" s="1003"/>
    </row>
    <row r="163" spans="1:33" x14ac:dyDescent="0.25">
      <c r="A163" s="991" t="s">
        <v>530</v>
      </c>
      <c r="B163" s="992" t="s">
        <v>1536</v>
      </c>
      <c r="C163" s="241"/>
      <c r="D163" s="241"/>
      <c r="E163" s="1005"/>
      <c r="F163" s="253"/>
      <c r="G163" s="253"/>
      <c r="H163" s="253"/>
      <c r="I163" s="253"/>
      <c r="J163" s="253"/>
      <c r="K163" s="253"/>
      <c r="L163" s="253"/>
      <c r="M163" s="253"/>
      <c r="N163" s="253"/>
      <c r="O163" s="253"/>
      <c r="P163" s="253"/>
      <c r="Q163" s="253"/>
      <c r="R163" s="253"/>
      <c r="S163" s="253"/>
      <c r="T163" s="253"/>
      <c r="U163" s="253"/>
      <c r="V163" s="253"/>
      <c r="W163" s="253"/>
      <c r="X163" s="253"/>
      <c r="Y163" s="253"/>
      <c r="Z163" s="253"/>
      <c r="AA163" s="253"/>
      <c r="AB163" s="253"/>
      <c r="AC163" s="253"/>
      <c r="AD163" s="243"/>
      <c r="AE163" s="241"/>
      <c r="AF163" s="241"/>
      <c r="AG163" s="1003"/>
    </row>
    <row r="164" spans="1:33" ht="13" x14ac:dyDescent="0.3">
      <c r="A164" s="995"/>
      <c r="B164" s="996" t="s">
        <v>271</v>
      </c>
      <c r="C164" s="242"/>
      <c r="D164" s="242"/>
      <c r="E164" s="242"/>
      <c r="F164" s="242"/>
      <c r="G164" s="242"/>
      <c r="H164" s="242"/>
      <c r="I164" s="242"/>
      <c r="J164" s="242"/>
      <c r="K164" s="242"/>
      <c r="L164" s="242"/>
      <c r="M164" s="242"/>
      <c r="N164" s="242"/>
      <c r="O164" s="242"/>
      <c r="P164" s="242"/>
      <c r="Q164" s="242"/>
      <c r="R164" s="242"/>
      <c r="S164" s="242"/>
      <c r="T164" s="242"/>
      <c r="U164" s="242"/>
      <c r="V164" s="242"/>
      <c r="W164" s="242"/>
      <c r="X164" s="242"/>
      <c r="Y164" s="242"/>
      <c r="Z164" s="242"/>
      <c r="AA164" s="242"/>
      <c r="AB164" s="242"/>
      <c r="AC164" s="242"/>
      <c r="AD164" s="242"/>
      <c r="AE164" s="242"/>
      <c r="AF164" s="242"/>
      <c r="AG164" s="242"/>
    </row>
    <row r="165" spans="1:33" x14ac:dyDescent="0.25">
      <c r="C165" s="1007"/>
    </row>
    <row r="168" spans="1:33" ht="13" x14ac:dyDescent="0.3">
      <c r="B168" s="986" t="s">
        <v>540</v>
      </c>
      <c r="F168" s="987" t="s">
        <v>10</v>
      </c>
    </row>
    <row r="169" spans="1:33" ht="26.15" customHeight="1" x14ac:dyDescent="0.35">
      <c r="A169" s="988"/>
      <c r="B169" s="1001" t="s">
        <v>413</v>
      </c>
      <c r="C169" s="1885" t="s">
        <v>512</v>
      </c>
      <c r="D169" s="1885" t="s">
        <v>513</v>
      </c>
      <c r="E169" s="1885" t="s">
        <v>583</v>
      </c>
      <c r="F169" s="1887" t="s">
        <v>584</v>
      </c>
      <c r="G169" s="1888"/>
      <c r="H169" s="1888"/>
      <c r="I169" s="1888"/>
      <c r="J169" s="1888"/>
      <c r="K169" s="1888"/>
      <c r="L169" s="1888"/>
      <c r="M169" s="1888"/>
      <c r="N169" s="1888"/>
      <c r="O169" s="1888"/>
      <c r="P169" s="1888"/>
      <c r="Q169" s="1888"/>
      <c r="R169" s="1888"/>
      <c r="S169" s="1888"/>
      <c r="T169" s="1888"/>
      <c r="U169" s="1888"/>
      <c r="V169" s="1888"/>
      <c r="W169" s="1888"/>
      <c r="X169" s="1888"/>
      <c r="Y169" s="1888"/>
      <c r="Z169" s="1888"/>
      <c r="AA169" s="1888"/>
      <c r="AB169" s="1888"/>
      <c r="AC169" s="1888"/>
      <c r="AD169" s="1889"/>
      <c r="AE169" s="989" t="s">
        <v>535</v>
      </c>
      <c r="AF169" s="989" t="s">
        <v>528</v>
      </c>
      <c r="AG169" s="989" t="s">
        <v>536</v>
      </c>
    </row>
    <row r="170" spans="1:33" ht="12.9" customHeight="1" x14ac:dyDescent="0.25">
      <c r="A170" s="988"/>
      <c r="B170" s="1001"/>
      <c r="C170" s="1886"/>
      <c r="D170" s="1886"/>
      <c r="E170" s="1886"/>
      <c r="F170" s="990" t="s">
        <v>514</v>
      </c>
      <c r="G170" s="990" t="s">
        <v>515</v>
      </c>
      <c r="H170" s="990" t="s">
        <v>516</v>
      </c>
      <c r="I170" s="990" t="s">
        <v>517</v>
      </c>
      <c r="J170" s="990" t="s">
        <v>518</v>
      </c>
      <c r="K170" s="990" t="s">
        <v>519</v>
      </c>
      <c r="L170" s="990" t="s">
        <v>520</v>
      </c>
      <c r="M170" s="990" t="s">
        <v>521</v>
      </c>
      <c r="N170" s="990" t="s">
        <v>522</v>
      </c>
      <c r="O170" s="990" t="s">
        <v>523</v>
      </c>
      <c r="P170" s="990" t="s">
        <v>524</v>
      </c>
      <c r="Q170" s="990" t="s">
        <v>525</v>
      </c>
      <c r="R170" s="990" t="s">
        <v>526</v>
      </c>
      <c r="S170" s="990" t="s">
        <v>527</v>
      </c>
      <c r="T170" s="990" t="s">
        <v>325</v>
      </c>
      <c r="U170" s="990" t="s">
        <v>503</v>
      </c>
      <c r="V170" s="990" t="s">
        <v>504</v>
      </c>
      <c r="W170" s="990" t="s">
        <v>505</v>
      </c>
      <c r="X170" s="990" t="s">
        <v>506</v>
      </c>
      <c r="Y170" s="990" t="s">
        <v>507</v>
      </c>
      <c r="Z170" s="990" t="s">
        <v>1067</v>
      </c>
      <c r="AA170" s="990" t="s">
        <v>1068</v>
      </c>
      <c r="AB170" s="990" t="s">
        <v>1069</v>
      </c>
      <c r="AC170" s="990" t="s">
        <v>1070</v>
      </c>
      <c r="AD170" s="990" t="s">
        <v>1071</v>
      </c>
      <c r="AE170" s="989"/>
      <c r="AF170" s="989"/>
      <c r="AG170" s="989"/>
    </row>
    <row r="171" spans="1:33" x14ac:dyDescent="0.25">
      <c r="A171" s="991" t="s">
        <v>529</v>
      </c>
      <c r="B171" s="992">
        <v>2005</v>
      </c>
      <c r="C171" s="991"/>
      <c r="D171" s="991"/>
      <c r="E171" s="1002"/>
      <c r="F171" s="252"/>
      <c r="G171" s="252"/>
      <c r="H171" s="252"/>
      <c r="I171" s="252"/>
      <c r="J171" s="252"/>
      <c r="K171" s="252"/>
      <c r="L171" s="252"/>
      <c r="M171" s="252"/>
      <c r="N171" s="252"/>
      <c r="O171" s="252"/>
      <c r="P171" s="252"/>
      <c r="Q171" s="252"/>
      <c r="R171" s="252"/>
      <c r="S171" s="252"/>
      <c r="T171" s="252"/>
      <c r="U171" s="252"/>
      <c r="V171" s="252"/>
      <c r="W171" s="252"/>
      <c r="X171" s="252"/>
      <c r="Y171" s="252"/>
      <c r="Z171" s="252"/>
      <c r="AA171" s="252"/>
      <c r="AB171" s="252"/>
      <c r="AC171" s="252"/>
      <c r="AD171" s="252"/>
      <c r="AE171" s="1003"/>
      <c r="AF171" s="1003"/>
      <c r="AG171" s="1003"/>
    </row>
    <row r="172" spans="1:33" x14ac:dyDescent="0.25">
      <c r="A172" s="991" t="s">
        <v>530</v>
      </c>
      <c r="B172" s="992" t="s">
        <v>514</v>
      </c>
      <c r="C172" s="991"/>
      <c r="D172" s="991"/>
      <c r="E172" s="1002"/>
      <c r="F172" s="243"/>
      <c r="G172" s="252"/>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1003"/>
      <c r="AF172" s="1003"/>
      <c r="AG172" s="1003"/>
    </row>
    <row r="173" spans="1:33" x14ac:dyDescent="0.25">
      <c r="A173" s="991" t="s">
        <v>530</v>
      </c>
      <c r="B173" s="992" t="s">
        <v>515</v>
      </c>
      <c r="C173" s="991"/>
      <c r="D173" s="991"/>
      <c r="E173" s="1002"/>
      <c r="F173" s="253"/>
      <c r="G173" s="243"/>
      <c r="H173" s="252"/>
      <c r="I173" s="252"/>
      <c r="J173" s="252"/>
      <c r="K173" s="252"/>
      <c r="L173" s="252"/>
      <c r="M173" s="252"/>
      <c r="N173" s="252"/>
      <c r="O173" s="252"/>
      <c r="P173" s="252"/>
      <c r="Q173" s="252"/>
      <c r="R173" s="252"/>
      <c r="S173" s="252"/>
      <c r="T173" s="252"/>
      <c r="U173" s="252"/>
      <c r="V173" s="252"/>
      <c r="W173" s="252"/>
      <c r="X173" s="252"/>
      <c r="Y173" s="252"/>
      <c r="Z173" s="252"/>
      <c r="AA173" s="252"/>
      <c r="AB173" s="252"/>
      <c r="AC173" s="252"/>
      <c r="AD173" s="252"/>
      <c r="AE173" s="1003"/>
      <c r="AF173" s="1003"/>
      <c r="AG173" s="1003"/>
    </row>
    <row r="174" spans="1:33" x14ac:dyDescent="0.25">
      <c r="A174" s="991" t="s">
        <v>530</v>
      </c>
      <c r="B174" s="992" t="s">
        <v>516</v>
      </c>
      <c r="C174" s="991"/>
      <c r="D174" s="991"/>
      <c r="E174" s="1002"/>
      <c r="F174" s="253"/>
      <c r="G174" s="253"/>
      <c r="H174" s="243"/>
      <c r="I174" s="252"/>
      <c r="J174" s="252"/>
      <c r="K174" s="252"/>
      <c r="L174" s="252"/>
      <c r="M174" s="252"/>
      <c r="N174" s="252"/>
      <c r="O174" s="252"/>
      <c r="P174" s="252"/>
      <c r="Q174" s="252"/>
      <c r="R174" s="252"/>
      <c r="S174" s="252"/>
      <c r="T174" s="252"/>
      <c r="U174" s="252"/>
      <c r="V174" s="252"/>
      <c r="W174" s="252"/>
      <c r="X174" s="252"/>
      <c r="Y174" s="252"/>
      <c r="Z174" s="252"/>
      <c r="AA174" s="252"/>
      <c r="AB174" s="252"/>
      <c r="AC174" s="252"/>
      <c r="AD174" s="252"/>
      <c r="AE174" s="1003"/>
      <c r="AF174" s="1003"/>
      <c r="AG174" s="1003"/>
    </row>
    <row r="175" spans="1:33" x14ac:dyDescent="0.25">
      <c r="A175" s="991" t="s">
        <v>530</v>
      </c>
      <c r="B175" s="992" t="s">
        <v>517</v>
      </c>
      <c r="C175" s="991"/>
      <c r="D175" s="991"/>
      <c r="E175" s="1002"/>
      <c r="F175" s="253"/>
      <c r="G175" s="253"/>
      <c r="H175" s="253"/>
      <c r="I175" s="243"/>
      <c r="J175" s="252"/>
      <c r="K175" s="252"/>
      <c r="L175" s="252"/>
      <c r="M175" s="252"/>
      <c r="N175" s="252"/>
      <c r="O175" s="252"/>
      <c r="P175" s="252"/>
      <c r="Q175" s="252"/>
      <c r="R175" s="252"/>
      <c r="S175" s="252"/>
      <c r="T175" s="252"/>
      <c r="U175" s="252"/>
      <c r="V175" s="252"/>
      <c r="W175" s="252"/>
      <c r="X175" s="252"/>
      <c r="Y175" s="252"/>
      <c r="Z175" s="252"/>
      <c r="AA175" s="252"/>
      <c r="AB175" s="252"/>
      <c r="AC175" s="252"/>
      <c r="AD175" s="252"/>
      <c r="AE175" s="1003"/>
      <c r="AF175" s="1003"/>
      <c r="AG175" s="1003"/>
    </row>
    <row r="176" spans="1:33" x14ac:dyDescent="0.25">
      <c r="A176" s="991" t="s">
        <v>530</v>
      </c>
      <c r="B176" s="992" t="s">
        <v>518</v>
      </c>
      <c r="C176" s="991"/>
      <c r="D176" s="991"/>
      <c r="E176" s="1002"/>
      <c r="F176" s="253"/>
      <c r="G176" s="253"/>
      <c r="H176" s="253"/>
      <c r="I176" s="253"/>
      <c r="J176" s="243"/>
      <c r="K176" s="252"/>
      <c r="L176" s="252"/>
      <c r="M176" s="252"/>
      <c r="N176" s="252"/>
      <c r="O176" s="252"/>
      <c r="P176" s="252"/>
      <c r="Q176" s="252"/>
      <c r="R176" s="252"/>
      <c r="S176" s="252"/>
      <c r="T176" s="252"/>
      <c r="U176" s="252"/>
      <c r="V176" s="252"/>
      <c r="W176" s="252"/>
      <c r="X176" s="252"/>
      <c r="Y176" s="252"/>
      <c r="Z176" s="252"/>
      <c r="AA176" s="252"/>
      <c r="AB176" s="252"/>
      <c r="AC176" s="252"/>
      <c r="AD176" s="252"/>
      <c r="AE176" s="1003"/>
      <c r="AF176" s="1003"/>
      <c r="AG176" s="1003"/>
    </row>
    <row r="177" spans="1:33" x14ac:dyDescent="0.25">
      <c r="A177" s="991" t="s">
        <v>530</v>
      </c>
      <c r="B177" s="992" t="s">
        <v>519</v>
      </c>
      <c r="C177" s="991"/>
      <c r="D177" s="991"/>
      <c r="E177" s="1002"/>
      <c r="F177" s="253"/>
      <c r="G177" s="253"/>
      <c r="H177" s="253"/>
      <c r="I177" s="253"/>
      <c r="J177" s="253"/>
      <c r="K177" s="243"/>
      <c r="L177" s="252"/>
      <c r="M177" s="252"/>
      <c r="N177" s="252"/>
      <c r="O177" s="252"/>
      <c r="P177" s="252"/>
      <c r="Q177" s="252"/>
      <c r="R177" s="252"/>
      <c r="S177" s="252"/>
      <c r="T177" s="252"/>
      <c r="U177" s="252"/>
      <c r="V177" s="252"/>
      <c r="W177" s="252"/>
      <c r="X177" s="252"/>
      <c r="Y177" s="252"/>
      <c r="Z177" s="252"/>
      <c r="AA177" s="252"/>
      <c r="AB177" s="252"/>
      <c r="AC177" s="252"/>
      <c r="AD177" s="252"/>
      <c r="AE177" s="1003"/>
      <c r="AF177" s="1003"/>
      <c r="AG177" s="1003"/>
    </row>
    <row r="178" spans="1:33" x14ac:dyDescent="0.25">
      <c r="A178" s="991" t="s">
        <v>530</v>
      </c>
      <c r="B178" s="992" t="s">
        <v>520</v>
      </c>
      <c r="C178" s="991"/>
      <c r="D178" s="991"/>
      <c r="E178" s="1002"/>
      <c r="F178" s="253"/>
      <c r="G178" s="253"/>
      <c r="H178" s="253"/>
      <c r="I178" s="253"/>
      <c r="J178" s="253"/>
      <c r="K178" s="253"/>
      <c r="L178" s="243"/>
      <c r="M178" s="252"/>
      <c r="N178" s="252"/>
      <c r="O178" s="252"/>
      <c r="P178" s="252"/>
      <c r="Q178" s="252"/>
      <c r="R178" s="252"/>
      <c r="S178" s="252"/>
      <c r="T178" s="252"/>
      <c r="U178" s="252"/>
      <c r="V178" s="252"/>
      <c r="W178" s="252"/>
      <c r="X178" s="252"/>
      <c r="Y178" s="252"/>
      <c r="Z178" s="252"/>
      <c r="AA178" s="252"/>
      <c r="AB178" s="252"/>
      <c r="AC178" s="252"/>
      <c r="AD178" s="252"/>
      <c r="AE178" s="1003"/>
      <c r="AF178" s="1003"/>
      <c r="AG178" s="1003"/>
    </row>
    <row r="179" spans="1:33" x14ac:dyDescent="0.25">
      <c r="A179" s="991" t="s">
        <v>530</v>
      </c>
      <c r="B179" s="992" t="s">
        <v>521</v>
      </c>
      <c r="C179" s="991"/>
      <c r="D179" s="991"/>
      <c r="E179" s="1002"/>
      <c r="F179" s="253"/>
      <c r="G179" s="253"/>
      <c r="H179" s="253"/>
      <c r="I179" s="253"/>
      <c r="J179" s="253"/>
      <c r="K179" s="253"/>
      <c r="L179" s="253"/>
      <c r="M179" s="243"/>
      <c r="N179" s="252"/>
      <c r="O179" s="252"/>
      <c r="P179" s="252"/>
      <c r="Q179" s="252"/>
      <c r="R179" s="252"/>
      <c r="S179" s="252"/>
      <c r="T179" s="252"/>
      <c r="U179" s="252"/>
      <c r="V179" s="252"/>
      <c r="W179" s="252"/>
      <c r="X179" s="252"/>
      <c r="Y179" s="252"/>
      <c r="Z179" s="252"/>
      <c r="AA179" s="252"/>
      <c r="AB179" s="252"/>
      <c r="AC179" s="252"/>
      <c r="AD179" s="252"/>
      <c r="AE179" s="1003"/>
      <c r="AF179" s="1003"/>
      <c r="AG179" s="1003"/>
    </row>
    <row r="180" spans="1:33" x14ac:dyDescent="0.25">
      <c r="A180" s="991" t="s">
        <v>530</v>
      </c>
      <c r="B180" s="992" t="s">
        <v>522</v>
      </c>
      <c r="C180" s="991"/>
      <c r="D180" s="991"/>
      <c r="E180" s="1002"/>
      <c r="F180" s="253"/>
      <c r="G180" s="253"/>
      <c r="H180" s="253"/>
      <c r="I180" s="253"/>
      <c r="J180" s="253"/>
      <c r="K180" s="253"/>
      <c r="L180" s="253"/>
      <c r="M180" s="253"/>
      <c r="N180" s="243"/>
      <c r="O180" s="252"/>
      <c r="P180" s="252"/>
      <c r="Q180" s="252"/>
      <c r="R180" s="252"/>
      <c r="S180" s="252"/>
      <c r="T180" s="252"/>
      <c r="U180" s="252"/>
      <c r="V180" s="252"/>
      <c r="W180" s="252"/>
      <c r="X180" s="252"/>
      <c r="Y180" s="252"/>
      <c r="Z180" s="252"/>
      <c r="AA180" s="252"/>
      <c r="AB180" s="252"/>
      <c r="AC180" s="252"/>
      <c r="AD180" s="252"/>
      <c r="AE180" s="1003"/>
      <c r="AF180" s="1003"/>
      <c r="AG180" s="1003"/>
    </row>
    <row r="181" spans="1:33" x14ac:dyDescent="0.25">
      <c r="A181" s="991" t="s">
        <v>530</v>
      </c>
      <c r="B181" s="992" t="s">
        <v>523</v>
      </c>
      <c r="C181" s="241"/>
      <c r="D181" s="991"/>
      <c r="E181" s="1002"/>
      <c r="F181" s="253"/>
      <c r="G181" s="253"/>
      <c r="H181" s="253"/>
      <c r="I181" s="253"/>
      <c r="J181" s="253"/>
      <c r="K181" s="253"/>
      <c r="L181" s="253"/>
      <c r="M181" s="253"/>
      <c r="N181" s="253"/>
      <c r="O181" s="243"/>
      <c r="P181" s="252"/>
      <c r="Q181" s="252"/>
      <c r="R181" s="252"/>
      <c r="S181" s="252"/>
      <c r="T181" s="252"/>
      <c r="U181" s="252"/>
      <c r="V181" s="252"/>
      <c r="W181" s="252"/>
      <c r="X181" s="252"/>
      <c r="Y181" s="252"/>
      <c r="Z181" s="252"/>
      <c r="AA181" s="252"/>
      <c r="AB181" s="252"/>
      <c r="AC181" s="252"/>
      <c r="AD181" s="252"/>
      <c r="AE181" s="1003"/>
      <c r="AF181" s="1003"/>
      <c r="AG181" s="1003"/>
    </row>
    <row r="182" spans="1:33" x14ac:dyDescent="0.25">
      <c r="A182" s="991" t="s">
        <v>530</v>
      </c>
      <c r="B182" s="992" t="s">
        <v>524</v>
      </c>
      <c r="C182" s="241"/>
      <c r="D182" s="991"/>
      <c r="E182" s="1002"/>
      <c r="F182" s="253"/>
      <c r="G182" s="253"/>
      <c r="H182" s="253"/>
      <c r="I182" s="253"/>
      <c r="J182" s="253"/>
      <c r="K182" s="253"/>
      <c r="L182" s="253"/>
      <c r="M182" s="253"/>
      <c r="N182" s="253"/>
      <c r="O182" s="253"/>
      <c r="P182" s="243"/>
      <c r="Q182" s="252"/>
      <c r="R182" s="252"/>
      <c r="S182" s="252"/>
      <c r="T182" s="252"/>
      <c r="U182" s="252"/>
      <c r="V182" s="252"/>
      <c r="W182" s="252"/>
      <c r="X182" s="252"/>
      <c r="Y182" s="252"/>
      <c r="Z182" s="252"/>
      <c r="AA182" s="252"/>
      <c r="AB182" s="252"/>
      <c r="AC182" s="252"/>
      <c r="AD182" s="252"/>
      <c r="AE182" s="1003"/>
      <c r="AF182" s="1003"/>
      <c r="AG182" s="1003"/>
    </row>
    <row r="183" spans="1:33" x14ac:dyDescent="0.25">
      <c r="A183" s="991" t="s">
        <v>530</v>
      </c>
      <c r="B183" s="992" t="s">
        <v>525</v>
      </c>
      <c r="C183" s="241"/>
      <c r="D183" s="241"/>
      <c r="E183" s="1002"/>
      <c r="F183" s="253"/>
      <c r="G183" s="253"/>
      <c r="H183" s="253"/>
      <c r="I183" s="253"/>
      <c r="J183" s="253"/>
      <c r="K183" s="253"/>
      <c r="L183" s="253"/>
      <c r="M183" s="253"/>
      <c r="N183" s="253"/>
      <c r="O183" s="253"/>
      <c r="P183" s="253"/>
      <c r="Q183" s="243"/>
      <c r="R183" s="252"/>
      <c r="S183" s="252"/>
      <c r="T183" s="252"/>
      <c r="U183" s="252"/>
      <c r="V183" s="252"/>
      <c r="W183" s="252"/>
      <c r="X183" s="252"/>
      <c r="Y183" s="252"/>
      <c r="Z183" s="252"/>
      <c r="AA183" s="252"/>
      <c r="AB183" s="252"/>
      <c r="AC183" s="252"/>
      <c r="AD183" s="252"/>
      <c r="AE183" s="1003"/>
      <c r="AF183" s="1003"/>
      <c r="AG183" s="1003"/>
    </row>
    <row r="184" spans="1:33" x14ac:dyDescent="0.25">
      <c r="A184" s="991" t="s">
        <v>530</v>
      </c>
      <c r="B184" s="992" t="s">
        <v>526</v>
      </c>
      <c r="C184" s="241"/>
      <c r="D184" s="241"/>
      <c r="E184" s="1002"/>
      <c r="F184" s="253"/>
      <c r="G184" s="253"/>
      <c r="H184" s="253"/>
      <c r="I184" s="253"/>
      <c r="J184" s="253"/>
      <c r="K184" s="253"/>
      <c r="L184" s="253"/>
      <c r="M184" s="253"/>
      <c r="N184" s="253"/>
      <c r="O184" s="253"/>
      <c r="P184" s="253"/>
      <c r="Q184" s="253"/>
      <c r="R184" s="243"/>
      <c r="S184" s="252"/>
      <c r="T184" s="252"/>
      <c r="U184" s="252"/>
      <c r="V184" s="252"/>
      <c r="W184" s="252"/>
      <c r="X184" s="252"/>
      <c r="Y184" s="252"/>
      <c r="Z184" s="252"/>
      <c r="AA184" s="252"/>
      <c r="AB184" s="252"/>
      <c r="AC184" s="252"/>
      <c r="AD184" s="252"/>
      <c r="AE184" s="1003"/>
      <c r="AF184" s="1003"/>
      <c r="AG184" s="1003"/>
    </row>
    <row r="185" spans="1:33" x14ac:dyDescent="0.25">
      <c r="A185" s="991" t="s">
        <v>530</v>
      </c>
      <c r="B185" s="992" t="s">
        <v>527</v>
      </c>
      <c r="C185" s="241"/>
      <c r="D185" s="241"/>
      <c r="E185" s="1002"/>
      <c r="F185" s="253"/>
      <c r="G185" s="253"/>
      <c r="H185" s="253"/>
      <c r="I185" s="253"/>
      <c r="J185" s="253"/>
      <c r="K185" s="253"/>
      <c r="L185" s="253"/>
      <c r="M185" s="253"/>
      <c r="N185" s="253"/>
      <c r="O185" s="253"/>
      <c r="P185" s="253"/>
      <c r="Q185" s="253"/>
      <c r="R185" s="253"/>
      <c r="S185" s="243"/>
      <c r="T185" s="252"/>
      <c r="U185" s="252"/>
      <c r="V185" s="252"/>
      <c r="W185" s="252"/>
      <c r="X185" s="252"/>
      <c r="Y185" s="252"/>
      <c r="Z185" s="252"/>
      <c r="AA185" s="252"/>
      <c r="AB185" s="252"/>
      <c r="AC185" s="252"/>
      <c r="AD185" s="252"/>
      <c r="AE185" s="1003"/>
      <c r="AF185" s="1003"/>
      <c r="AG185" s="1003"/>
    </row>
    <row r="186" spans="1:33" x14ac:dyDescent="0.25">
      <c r="A186" s="991" t="s">
        <v>530</v>
      </c>
      <c r="B186" s="992" t="s">
        <v>531</v>
      </c>
      <c r="C186" s="1004"/>
      <c r="D186" s="241"/>
      <c r="E186" s="1002"/>
      <c r="F186" s="253"/>
      <c r="G186" s="253"/>
      <c r="H186" s="253"/>
      <c r="I186" s="253"/>
      <c r="J186" s="253"/>
      <c r="K186" s="253"/>
      <c r="L186" s="253"/>
      <c r="M186" s="253"/>
      <c r="N186" s="253"/>
      <c r="O186" s="253"/>
      <c r="P186" s="253"/>
      <c r="Q186" s="253"/>
      <c r="R186" s="253"/>
      <c r="S186" s="253"/>
      <c r="T186" s="243"/>
      <c r="U186" s="252"/>
      <c r="V186" s="252"/>
      <c r="W186" s="252"/>
      <c r="X186" s="252"/>
      <c r="Y186" s="252"/>
      <c r="Z186" s="252"/>
      <c r="AA186" s="252"/>
      <c r="AB186" s="252"/>
      <c r="AC186" s="252"/>
      <c r="AD186" s="252"/>
      <c r="AE186" s="1003"/>
      <c r="AF186" s="1003"/>
      <c r="AG186" s="1003"/>
    </row>
    <row r="187" spans="1:33" x14ac:dyDescent="0.25">
      <c r="A187" s="991" t="s">
        <v>530</v>
      </c>
      <c r="B187" s="992" t="s">
        <v>532</v>
      </c>
      <c r="C187" s="241"/>
      <c r="D187" s="241"/>
      <c r="E187" s="1002"/>
      <c r="F187" s="253"/>
      <c r="G187" s="253"/>
      <c r="H187" s="253"/>
      <c r="I187" s="253"/>
      <c r="J187" s="253"/>
      <c r="K187" s="253"/>
      <c r="L187" s="253"/>
      <c r="M187" s="253"/>
      <c r="N187" s="253"/>
      <c r="O187" s="253"/>
      <c r="P187" s="253"/>
      <c r="Q187" s="253"/>
      <c r="R187" s="253"/>
      <c r="S187" s="253"/>
      <c r="T187" s="253"/>
      <c r="U187" s="243"/>
      <c r="V187" s="252"/>
      <c r="W187" s="252"/>
      <c r="X187" s="252"/>
      <c r="Y187" s="252"/>
      <c r="Z187" s="252"/>
      <c r="AA187" s="252"/>
      <c r="AB187" s="252"/>
      <c r="AC187" s="252"/>
      <c r="AD187" s="252"/>
      <c r="AE187" s="1003"/>
      <c r="AF187" s="1003"/>
      <c r="AG187" s="1003"/>
    </row>
    <row r="188" spans="1:33" x14ac:dyDescent="0.25">
      <c r="A188" s="991" t="s">
        <v>530</v>
      </c>
      <c r="B188" s="992" t="s">
        <v>533</v>
      </c>
      <c r="C188" s="241"/>
      <c r="D188" s="241"/>
      <c r="E188" s="1002"/>
      <c r="F188" s="253"/>
      <c r="G188" s="253"/>
      <c r="H188" s="253"/>
      <c r="I188" s="253"/>
      <c r="J188" s="253"/>
      <c r="K188" s="253"/>
      <c r="L188" s="253"/>
      <c r="M188" s="253"/>
      <c r="N188" s="253"/>
      <c r="O188" s="253"/>
      <c r="P188" s="253"/>
      <c r="Q188" s="253"/>
      <c r="R188" s="253"/>
      <c r="S188" s="253"/>
      <c r="T188" s="253"/>
      <c r="U188" s="253"/>
      <c r="V188" s="243"/>
      <c r="W188" s="252"/>
      <c r="X188" s="252"/>
      <c r="Y188" s="252"/>
      <c r="Z188" s="252"/>
      <c r="AA188" s="252"/>
      <c r="AB188" s="252"/>
      <c r="AC188" s="252"/>
      <c r="AD188" s="252"/>
      <c r="AE188" s="1003"/>
      <c r="AF188" s="1003"/>
      <c r="AG188" s="1003"/>
    </row>
    <row r="189" spans="1:33" x14ac:dyDescent="0.25">
      <c r="A189" s="991" t="s">
        <v>530</v>
      </c>
      <c r="B189" s="992" t="s">
        <v>543</v>
      </c>
      <c r="C189" s="241"/>
      <c r="D189" s="241"/>
      <c r="E189" s="1002"/>
      <c r="F189" s="253"/>
      <c r="G189" s="253"/>
      <c r="H189" s="253"/>
      <c r="I189" s="253"/>
      <c r="J189" s="253"/>
      <c r="K189" s="253"/>
      <c r="L189" s="253"/>
      <c r="M189" s="253"/>
      <c r="N189" s="253"/>
      <c r="O189" s="253"/>
      <c r="P189" s="253"/>
      <c r="Q189" s="253"/>
      <c r="R189" s="253"/>
      <c r="S189" s="253"/>
      <c r="T189" s="253"/>
      <c r="U189" s="253"/>
      <c r="V189" s="253"/>
      <c r="W189" s="243"/>
      <c r="X189" s="252"/>
      <c r="Y189" s="252"/>
      <c r="Z189" s="252"/>
      <c r="AA189" s="252"/>
      <c r="AB189" s="252"/>
      <c r="AC189" s="252"/>
      <c r="AD189" s="252"/>
      <c r="AE189" s="1003"/>
      <c r="AF189" s="1003"/>
      <c r="AG189" s="1003"/>
    </row>
    <row r="190" spans="1:33" x14ac:dyDescent="0.25">
      <c r="A190" s="991" t="s">
        <v>530</v>
      </c>
      <c r="B190" s="992" t="s">
        <v>544</v>
      </c>
      <c r="C190" s="241"/>
      <c r="D190" s="241"/>
      <c r="E190" s="1002"/>
      <c r="F190" s="253"/>
      <c r="G190" s="253"/>
      <c r="H190" s="253"/>
      <c r="I190" s="253"/>
      <c r="J190" s="253"/>
      <c r="K190" s="253"/>
      <c r="L190" s="253"/>
      <c r="M190" s="253"/>
      <c r="N190" s="253"/>
      <c r="O190" s="253"/>
      <c r="P190" s="253"/>
      <c r="Q190" s="253"/>
      <c r="R190" s="253"/>
      <c r="S190" s="253"/>
      <c r="T190" s="253"/>
      <c r="U190" s="253"/>
      <c r="V190" s="253"/>
      <c r="W190" s="253"/>
      <c r="X190" s="243"/>
      <c r="Y190" s="252"/>
      <c r="Z190" s="252"/>
      <c r="AA190" s="252"/>
      <c r="AB190" s="252"/>
      <c r="AC190" s="252"/>
      <c r="AD190" s="252"/>
      <c r="AE190" s="1003"/>
      <c r="AF190" s="1003"/>
      <c r="AG190" s="1003"/>
    </row>
    <row r="191" spans="1:33" x14ac:dyDescent="0.25">
      <c r="A191" s="991" t="s">
        <v>530</v>
      </c>
      <c r="B191" s="992" t="s">
        <v>545</v>
      </c>
      <c r="C191" s="241"/>
      <c r="D191" s="241"/>
      <c r="E191" s="1002"/>
      <c r="F191" s="253"/>
      <c r="G191" s="253"/>
      <c r="H191" s="253"/>
      <c r="I191" s="253"/>
      <c r="J191" s="253"/>
      <c r="K191" s="253"/>
      <c r="L191" s="253"/>
      <c r="M191" s="253"/>
      <c r="N191" s="253"/>
      <c r="O191" s="253"/>
      <c r="P191" s="253"/>
      <c r="Q191" s="253"/>
      <c r="R191" s="253"/>
      <c r="S191" s="253"/>
      <c r="T191" s="253"/>
      <c r="U191" s="253"/>
      <c r="V191" s="253"/>
      <c r="W191" s="253"/>
      <c r="X191" s="253"/>
      <c r="Y191" s="243"/>
      <c r="Z191" s="252"/>
      <c r="AA191" s="252"/>
      <c r="AB191" s="252"/>
      <c r="AC191" s="252"/>
      <c r="AD191" s="252"/>
      <c r="AE191" s="1003"/>
      <c r="AF191" s="1003"/>
      <c r="AG191" s="1003"/>
    </row>
    <row r="192" spans="1:33" x14ac:dyDescent="0.25">
      <c r="A192" s="991" t="s">
        <v>530</v>
      </c>
      <c r="B192" s="992" t="s">
        <v>1532</v>
      </c>
      <c r="C192" s="241"/>
      <c r="D192" s="241"/>
      <c r="E192" s="1005"/>
      <c r="F192" s="253"/>
      <c r="G192" s="253"/>
      <c r="H192" s="253"/>
      <c r="I192" s="253"/>
      <c r="J192" s="253"/>
      <c r="K192" s="253"/>
      <c r="L192" s="253"/>
      <c r="M192" s="253"/>
      <c r="N192" s="253"/>
      <c r="O192" s="253"/>
      <c r="P192" s="253"/>
      <c r="Q192" s="253"/>
      <c r="R192" s="253"/>
      <c r="S192" s="253"/>
      <c r="T192" s="253"/>
      <c r="U192" s="253"/>
      <c r="V192" s="253"/>
      <c r="W192" s="253"/>
      <c r="X192" s="253"/>
      <c r="Y192" s="253"/>
      <c r="Z192" s="243"/>
      <c r="AA192" s="252"/>
      <c r="AB192" s="252"/>
      <c r="AC192" s="252"/>
      <c r="AD192" s="252"/>
      <c r="AE192" s="241"/>
      <c r="AF192" s="241"/>
      <c r="AG192" s="1003"/>
    </row>
    <row r="193" spans="1:33" x14ac:dyDescent="0.25">
      <c r="A193" s="991" t="s">
        <v>530</v>
      </c>
      <c r="B193" s="992" t="s">
        <v>1533</v>
      </c>
      <c r="C193" s="241"/>
      <c r="D193" s="241"/>
      <c r="E193" s="1005"/>
      <c r="F193" s="253"/>
      <c r="G193" s="253"/>
      <c r="H193" s="253"/>
      <c r="I193" s="253"/>
      <c r="J193" s="253"/>
      <c r="K193" s="253"/>
      <c r="L193" s="253"/>
      <c r="M193" s="253"/>
      <c r="N193" s="253"/>
      <c r="O193" s="253"/>
      <c r="P193" s="253"/>
      <c r="Q193" s="253"/>
      <c r="R193" s="253"/>
      <c r="S193" s="253"/>
      <c r="T193" s="253"/>
      <c r="U193" s="253"/>
      <c r="V193" s="253"/>
      <c r="W193" s="253"/>
      <c r="X193" s="253"/>
      <c r="Y193" s="253"/>
      <c r="Z193" s="253"/>
      <c r="AA193" s="243"/>
      <c r="AB193" s="252"/>
      <c r="AC193" s="252"/>
      <c r="AD193" s="252"/>
      <c r="AE193" s="241"/>
      <c r="AF193" s="241"/>
      <c r="AG193" s="1003"/>
    </row>
    <row r="194" spans="1:33" x14ac:dyDescent="0.25">
      <c r="A194" s="991" t="s">
        <v>530</v>
      </c>
      <c r="B194" s="992" t="s">
        <v>1534</v>
      </c>
      <c r="C194" s="241"/>
      <c r="D194" s="241"/>
      <c r="E194" s="1005"/>
      <c r="F194" s="253"/>
      <c r="G194" s="253"/>
      <c r="H194" s="253"/>
      <c r="I194" s="253"/>
      <c r="J194" s="253"/>
      <c r="K194" s="253"/>
      <c r="L194" s="253"/>
      <c r="M194" s="253"/>
      <c r="N194" s="253"/>
      <c r="O194" s="253"/>
      <c r="P194" s="253"/>
      <c r="Q194" s="253"/>
      <c r="R194" s="253"/>
      <c r="S194" s="253"/>
      <c r="T194" s="253"/>
      <c r="U194" s="253"/>
      <c r="V194" s="253"/>
      <c r="W194" s="253"/>
      <c r="X194" s="253"/>
      <c r="Y194" s="253"/>
      <c r="Z194" s="253"/>
      <c r="AA194" s="253"/>
      <c r="AB194" s="243"/>
      <c r="AC194" s="252"/>
      <c r="AD194" s="252"/>
      <c r="AE194" s="241"/>
      <c r="AF194" s="241"/>
      <c r="AG194" s="1003"/>
    </row>
    <row r="195" spans="1:33" x14ac:dyDescent="0.25">
      <c r="A195" s="991" t="s">
        <v>530</v>
      </c>
      <c r="B195" s="992" t="s">
        <v>1535</v>
      </c>
      <c r="C195" s="241"/>
      <c r="D195" s="241"/>
      <c r="E195" s="1005"/>
      <c r="F195" s="253"/>
      <c r="G195" s="253"/>
      <c r="H195" s="253"/>
      <c r="I195" s="253"/>
      <c r="J195" s="253"/>
      <c r="K195" s="253"/>
      <c r="L195" s="253"/>
      <c r="M195" s="253"/>
      <c r="N195" s="253"/>
      <c r="O195" s="253"/>
      <c r="P195" s="253"/>
      <c r="Q195" s="253"/>
      <c r="R195" s="253"/>
      <c r="S195" s="253"/>
      <c r="T195" s="253"/>
      <c r="U195" s="253"/>
      <c r="V195" s="253"/>
      <c r="W195" s="253"/>
      <c r="X195" s="253"/>
      <c r="Y195" s="253"/>
      <c r="Z195" s="253"/>
      <c r="AA195" s="253"/>
      <c r="AB195" s="253"/>
      <c r="AC195" s="243"/>
      <c r="AD195" s="252"/>
      <c r="AE195" s="241"/>
      <c r="AF195" s="241"/>
      <c r="AG195" s="1003"/>
    </row>
    <row r="196" spans="1:33" x14ac:dyDescent="0.25">
      <c r="A196" s="991" t="s">
        <v>530</v>
      </c>
      <c r="B196" s="992" t="s">
        <v>1536</v>
      </c>
      <c r="C196" s="241"/>
      <c r="D196" s="241"/>
      <c r="E196" s="1005"/>
      <c r="F196" s="253"/>
      <c r="G196" s="253"/>
      <c r="H196" s="253"/>
      <c r="I196" s="253"/>
      <c r="J196" s="253"/>
      <c r="K196" s="253"/>
      <c r="L196" s="253"/>
      <c r="M196" s="253"/>
      <c r="N196" s="253"/>
      <c r="O196" s="253"/>
      <c r="P196" s="253"/>
      <c r="Q196" s="253"/>
      <c r="R196" s="253"/>
      <c r="S196" s="253"/>
      <c r="T196" s="253"/>
      <c r="U196" s="253"/>
      <c r="V196" s="253"/>
      <c r="W196" s="253"/>
      <c r="X196" s="253"/>
      <c r="Y196" s="253"/>
      <c r="Z196" s="253"/>
      <c r="AA196" s="253"/>
      <c r="AB196" s="253"/>
      <c r="AC196" s="253"/>
      <c r="AD196" s="243"/>
      <c r="AE196" s="241"/>
      <c r="AF196" s="241"/>
      <c r="AG196" s="1003"/>
    </row>
    <row r="197" spans="1:33" ht="13" x14ac:dyDescent="0.3">
      <c r="A197" s="995" t="s">
        <v>368</v>
      </c>
      <c r="B197" s="996" t="s">
        <v>271</v>
      </c>
      <c r="C197" s="242"/>
      <c r="D197" s="242"/>
      <c r="E197" s="242"/>
      <c r="F197" s="242"/>
      <c r="G197" s="242"/>
      <c r="H197" s="242"/>
      <c r="I197" s="242"/>
      <c r="J197" s="242"/>
      <c r="K197" s="242"/>
      <c r="L197" s="242"/>
      <c r="M197" s="242"/>
      <c r="N197" s="242"/>
      <c r="O197" s="242"/>
      <c r="P197" s="242"/>
      <c r="Q197" s="242"/>
      <c r="R197" s="242"/>
      <c r="S197" s="242"/>
      <c r="T197" s="242"/>
      <c r="U197" s="242"/>
      <c r="V197" s="242"/>
      <c r="W197" s="242"/>
      <c r="X197" s="242"/>
      <c r="Y197" s="242"/>
      <c r="Z197" s="242"/>
      <c r="AA197" s="242"/>
      <c r="AB197" s="242"/>
      <c r="AC197" s="242"/>
      <c r="AD197" s="242"/>
      <c r="AE197" s="242"/>
      <c r="AF197" s="242"/>
      <c r="AG197" s="242"/>
    </row>
    <row r="198" spans="1:33" x14ac:dyDescent="0.25">
      <c r="C198" s="1007"/>
    </row>
    <row r="199" spans="1:33" x14ac:dyDescent="0.25">
      <c r="C199" s="997"/>
    </row>
    <row r="201" spans="1:33" ht="13" x14ac:dyDescent="0.3">
      <c r="B201" s="986" t="s">
        <v>541</v>
      </c>
      <c r="F201" s="987" t="s">
        <v>10</v>
      </c>
    </row>
    <row r="202" spans="1:33" ht="26.15" customHeight="1" x14ac:dyDescent="0.35">
      <c r="A202" s="988"/>
      <c r="B202" s="1001" t="s">
        <v>413</v>
      </c>
      <c r="C202" s="1885" t="s">
        <v>512</v>
      </c>
      <c r="D202" s="1885" t="s">
        <v>513</v>
      </c>
      <c r="E202" s="1885" t="s">
        <v>583</v>
      </c>
      <c r="F202" s="1887" t="s">
        <v>584</v>
      </c>
      <c r="G202" s="1888"/>
      <c r="H202" s="1888"/>
      <c r="I202" s="1888"/>
      <c r="J202" s="1888"/>
      <c r="K202" s="1888"/>
      <c r="L202" s="1888"/>
      <c r="M202" s="1888"/>
      <c r="N202" s="1888"/>
      <c r="O202" s="1888"/>
      <c r="P202" s="1888"/>
      <c r="Q202" s="1888"/>
      <c r="R202" s="1888"/>
      <c r="S202" s="1888"/>
      <c r="T202" s="1888"/>
      <c r="U202" s="1888"/>
      <c r="V202" s="1888"/>
      <c r="W202" s="1888"/>
      <c r="X202" s="1888"/>
      <c r="Y202" s="1888"/>
      <c r="Z202" s="1888"/>
      <c r="AA202" s="1888"/>
      <c r="AB202" s="1888"/>
      <c r="AC202" s="1888"/>
      <c r="AD202" s="1889"/>
      <c r="AE202" s="989" t="s">
        <v>535</v>
      </c>
      <c r="AF202" s="989" t="s">
        <v>528</v>
      </c>
      <c r="AG202" s="989" t="s">
        <v>536</v>
      </c>
    </row>
    <row r="203" spans="1:33" ht="12.9" customHeight="1" x14ac:dyDescent="0.25">
      <c r="A203" s="988"/>
      <c r="B203" s="1001"/>
      <c r="C203" s="1886"/>
      <c r="D203" s="1886"/>
      <c r="E203" s="1886"/>
      <c r="F203" s="990" t="s">
        <v>514</v>
      </c>
      <c r="G203" s="990" t="s">
        <v>515</v>
      </c>
      <c r="H203" s="990" t="s">
        <v>516</v>
      </c>
      <c r="I203" s="990" t="s">
        <v>517</v>
      </c>
      <c r="J203" s="990" t="s">
        <v>518</v>
      </c>
      <c r="K203" s="990" t="s">
        <v>519</v>
      </c>
      <c r="L203" s="990" t="s">
        <v>520</v>
      </c>
      <c r="M203" s="990" t="s">
        <v>521</v>
      </c>
      <c r="N203" s="990" t="s">
        <v>522</v>
      </c>
      <c r="O203" s="990" t="s">
        <v>523</v>
      </c>
      <c r="P203" s="990" t="s">
        <v>524</v>
      </c>
      <c r="Q203" s="990" t="s">
        <v>525</v>
      </c>
      <c r="R203" s="990" t="s">
        <v>526</v>
      </c>
      <c r="S203" s="990" t="s">
        <v>527</v>
      </c>
      <c r="T203" s="990" t="s">
        <v>325</v>
      </c>
      <c r="U203" s="990" t="s">
        <v>503</v>
      </c>
      <c r="V203" s="990" t="s">
        <v>504</v>
      </c>
      <c r="W203" s="990" t="s">
        <v>505</v>
      </c>
      <c r="X203" s="990" t="s">
        <v>506</v>
      </c>
      <c r="Y203" s="990" t="s">
        <v>507</v>
      </c>
      <c r="Z203" s="990" t="s">
        <v>1067</v>
      </c>
      <c r="AA203" s="990" t="s">
        <v>1068</v>
      </c>
      <c r="AB203" s="990" t="s">
        <v>1069</v>
      </c>
      <c r="AC203" s="990" t="s">
        <v>1070</v>
      </c>
      <c r="AD203" s="990" t="s">
        <v>1071</v>
      </c>
      <c r="AE203" s="989"/>
      <c r="AF203" s="989"/>
      <c r="AG203" s="989"/>
    </row>
    <row r="204" spans="1:33" x14ac:dyDescent="0.25">
      <c r="A204" s="991" t="s">
        <v>529</v>
      </c>
      <c r="B204" s="992">
        <v>2005</v>
      </c>
      <c r="C204" s="991"/>
      <c r="D204" s="991"/>
      <c r="E204" s="1002"/>
      <c r="F204" s="252"/>
      <c r="G204" s="252"/>
      <c r="H204" s="252"/>
      <c r="I204" s="252"/>
      <c r="J204" s="252"/>
      <c r="K204" s="252"/>
      <c r="L204" s="252"/>
      <c r="M204" s="252"/>
      <c r="N204" s="252"/>
      <c r="O204" s="252"/>
      <c r="P204" s="252"/>
      <c r="Q204" s="252"/>
      <c r="R204" s="252"/>
      <c r="S204" s="252"/>
      <c r="T204" s="252"/>
      <c r="U204" s="252"/>
      <c r="V204" s="252"/>
      <c r="W204" s="252"/>
      <c r="X204" s="252"/>
      <c r="Y204" s="252"/>
      <c r="Z204" s="252"/>
      <c r="AA204" s="252"/>
      <c r="AB204" s="252"/>
      <c r="AC204" s="252"/>
      <c r="AD204" s="252"/>
      <c r="AE204" s="1003"/>
      <c r="AF204" s="1003"/>
      <c r="AG204" s="1003"/>
    </row>
    <row r="205" spans="1:33" x14ac:dyDescent="0.25">
      <c r="A205" s="991" t="s">
        <v>530</v>
      </c>
      <c r="B205" s="992" t="s">
        <v>514</v>
      </c>
      <c r="C205" s="991"/>
      <c r="D205" s="991"/>
      <c r="E205" s="1002"/>
      <c r="F205" s="243"/>
      <c r="G205" s="252"/>
      <c r="H205" s="252"/>
      <c r="I205" s="252"/>
      <c r="J205" s="252"/>
      <c r="K205" s="252"/>
      <c r="L205" s="252"/>
      <c r="M205" s="252"/>
      <c r="N205" s="252"/>
      <c r="O205" s="252"/>
      <c r="P205" s="252"/>
      <c r="Q205" s="252"/>
      <c r="R205" s="252"/>
      <c r="S205" s="252"/>
      <c r="T205" s="252"/>
      <c r="U205" s="252"/>
      <c r="V205" s="252"/>
      <c r="W205" s="252"/>
      <c r="X205" s="252"/>
      <c r="Y205" s="252"/>
      <c r="Z205" s="252"/>
      <c r="AA205" s="252"/>
      <c r="AB205" s="252"/>
      <c r="AC205" s="252"/>
      <c r="AD205" s="252"/>
      <c r="AE205" s="1003"/>
      <c r="AF205" s="1003"/>
      <c r="AG205" s="1003"/>
    </row>
    <row r="206" spans="1:33" x14ac:dyDescent="0.25">
      <c r="A206" s="991" t="s">
        <v>530</v>
      </c>
      <c r="B206" s="992" t="s">
        <v>515</v>
      </c>
      <c r="C206" s="991"/>
      <c r="D206" s="991"/>
      <c r="E206" s="1002"/>
      <c r="F206" s="253"/>
      <c r="G206" s="243"/>
      <c r="H206" s="252"/>
      <c r="I206" s="252"/>
      <c r="J206" s="252"/>
      <c r="K206" s="252"/>
      <c r="L206" s="252"/>
      <c r="M206" s="252"/>
      <c r="N206" s="252"/>
      <c r="O206" s="252"/>
      <c r="P206" s="252"/>
      <c r="Q206" s="252"/>
      <c r="R206" s="252"/>
      <c r="S206" s="252"/>
      <c r="T206" s="252"/>
      <c r="U206" s="252"/>
      <c r="V206" s="252"/>
      <c r="W206" s="252"/>
      <c r="X206" s="252"/>
      <c r="Y206" s="252"/>
      <c r="Z206" s="252"/>
      <c r="AA206" s="252"/>
      <c r="AB206" s="252"/>
      <c r="AC206" s="252"/>
      <c r="AD206" s="252"/>
      <c r="AE206" s="1003"/>
      <c r="AF206" s="1003"/>
      <c r="AG206" s="1003"/>
    </row>
    <row r="207" spans="1:33" x14ac:dyDescent="0.25">
      <c r="A207" s="991" t="s">
        <v>530</v>
      </c>
      <c r="B207" s="992" t="s">
        <v>516</v>
      </c>
      <c r="C207" s="991"/>
      <c r="D207" s="991"/>
      <c r="E207" s="1002"/>
      <c r="F207" s="253"/>
      <c r="G207" s="253"/>
      <c r="H207" s="243"/>
      <c r="I207" s="252"/>
      <c r="J207" s="252"/>
      <c r="K207" s="252"/>
      <c r="L207" s="252"/>
      <c r="M207" s="252"/>
      <c r="N207" s="252"/>
      <c r="O207" s="252"/>
      <c r="P207" s="252"/>
      <c r="Q207" s="252"/>
      <c r="R207" s="252"/>
      <c r="S207" s="252"/>
      <c r="T207" s="252"/>
      <c r="U207" s="252"/>
      <c r="V207" s="252"/>
      <c r="W207" s="252"/>
      <c r="X207" s="252"/>
      <c r="Y207" s="252"/>
      <c r="Z207" s="252"/>
      <c r="AA207" s="252"/>
      <c r="AB207" s="252"/>
      <c r="AC207" s="252"/>
      <c r="AD207" s="252"/>
      <c r="AE207" s="1003"/>
      <c r="AF207" s="1003"/>
      <c r="AG207" s="1003"/>
    </row>
    <row r="208" spans="1:33" x14ac:dyDescent="0.25">
      <c r="A208" s="991" t="s">
        <v>530</v>
      </c>
      <c r="B208" s="992" t="s">
        <v>517</v>
      </c>
      <c r="C208" s="991"/>
      <c r="D208" s="991"/>
      <c r="E208" s="1002"/>
      <c r="F208" s="253"/>
      <c r="G208" s="253"/>
      <c r="H208" s="253"/>
      <c r="I208" s="243"/>
      <c r="J208" s="252"/>
      <c r="K208" s="252"/>
      <c r="L208" s="252"/>
      <c r="M208" s="252"/>
      <c r="N208" s="252"/>
      <c r="O208" s="252"/>
      <c r="P208" s="252"/>
      <c r="Q208" s="252"/>
      <c r="R208" s="252"/>
      <c r="S208" s="252"/>
      <c r="T208" s="252"/>
      <c r="U208" s="252"/>
      <c r="V208" s="252"/>
      <c r="W208" s="252"/>
      <c r="X208" s="252"/>
      <c r="Y208" s="252"/>
      <c r="Z208" s="252"/>
      <c r="AA208" s="252"/>
      <c r="AB208" s="252"/>
      <c r="AC208" s="252"/>
      <c r="AD208" s="252"/>
      <c r="AE208" s="1003"/>
      <c r="AF208" s="1003"/>
      <c r="AG208" s="1003"/>
    </row>
    <row r="209" spans="1:33" x14ac:dyDescent="0.25">
      <c r="A209" s="991" t="s">
        <v>530</v>
      </c>
      <c r="B209" s="992" t="s">
        <v>518</v>
      </c>
      <c r="C209" s="991"/>
      <c r="D209" s="991"/>
      <c r="E209" s="1002"/>
      <c r="F209" s="253"/>
      <c r="G209" s="253"/>
      <c r="H209" s="253"/>
      <c r="I209" s="253"/>
      <c r="J209" s="243"/>
      <c r="K209" s="252"/>
      <c r="L209" s="252"/>
      <c r="M209" s="252"/>
      <c r="N209" s="252"/>
      <c r="O209" s="252"/>
      <c r="P209" s="252"/>
      <c r="Q209" s="252"/>
      <c r="R209" s="252"/>
      <c r="S209" s="252"/>
      <c r="T209" s="252"/>
      <c r="U209" s="252"/>
      <c r="V209" s="252"/>
      <c r="W209" s="252"/>
      <c r="X209" s="252"/>
      <c r="Y209" s="252"/>
      <c r="Z209" s="252"/>
      <c r="AA209" s="252"/>
      <c r="AB209" s="252"/>
      <c r="AC209" s="252"/>
      <c r="AD209" s="252"/>
      <c r="AE209" s="1003"/>
      <c r="AF209" s="1003"/>
      <c r="AG209" s="1003"/>
    </row>
    <row r="210" spans="1:33" x14ac:dyDescent="0.25">
      <c r="A210" s="991" t="s">
        <v>530</v>
      </c>
      <c r="B210" s="992" t="s">
        <v>519</v>
      </c>
      <c r="C210" s="991"/>
      <c r="D210" s="991"/>
      <c r="E210" s="1002"/>
      <c r="F210" s="253"/>
      <c r="G210" s="253"/>
      <c r="H210" s="253"/>
      <c r="I210" s="253"/>
      <c r="J210" s="253"/>
      <c r="K210" s="243"/>
      <c r="L210" s="252"/>
      <c r="M210" s="252"/>
      <c r="N210" s="252"/>
      <c r="O210" s="252"/>
      <c r="P210" s="252"/>
      <c r="Q210" s="252"/>
      <c r="R210" s="252"/>
      <c r="S210" s="252"/>
      <c r="T210" s="252"/>
      <c r="U210" s="252"/>
      <c r="V210" s="252"/>
      <c r="W210" s="252"/>
      <c r="X210" s="252"/>
      <c r="Y210" s="252"/>
      <c r="Z210" s="252"/>
      <c r="AA210" s="252"/>
      <c r="AB210" s="252"/>
      <c r="AC210" s="252"/>
      <c r="AD210" s="252"/>
      <c r="AE210" s="1003"/>
      <c r="AF210" s="1003"/>
      <c r="AG210" s="1003"/>
    </row>
    <row r="211" spans="1:33" x14ac:dyDescent="0.25">
      <c r="A211" s="991" t="s">
        <v>530</v>
      </c>
      <c r="B211" s="992" t="s">
        <v>520</v>
      </c>
      <c r="C211" s="991"/>
      <c r="D211" s="991"/>
      <c r="E211" s="1002"/>
      <c r="F211" s="253"/>
      <c r="G211" s="253"/>
      <c r="H211" s="253"/>
      <c r="I211" s="253"/>
      <c r="J211" s="253"/>
      <c r="K211" s="253"/>
      <c r="L211" s="243"/>
      <c r="M211" s="252"/>
      <c r="N211" s="252"/>
      <c r="O211" s="252"/>
      <c r="P211" s="252"/>
      <c r="Q211" s="252"/>
      <c r="R211" s="252"/>
      <c r="S211" s="252"/>
      <c r="T211" s="252"/>
      <c r="U211" s="252"/>
      <c r="V211" s="252"/>
      <c r="W211" s="252"/>
      <c r="X211" s="252"/>
      <c r="Y211" s="252"/>
      <c r="Z211" s="252"/>
      <c r="AA211" s="252"/>
      <c r="AB211" s="252"/>
      <c r="AC211" s="252"/>
      <c r="AD211" s="252"/>
      <c r="AE211" s="1003"/>
      <c r="AF211" s="1003"/>
      <c r="AG211" s="1003"/>
    </row>
    <row r="212" spans="1:33" x14ac:dyDescent="0.25">
      <c r="A212" s="991" t="s">
        <v>530</v>
      </c>
      <c r="B212" s="992" t="s">
        <v>521</v>
      </c>
      <c r="C212" s="991"/>
      <c r="D212" s="991"/>
      <c r="E212" s="1002"/>
      <c r="F212" s="253"/>
      <c r="G212" s="253"/>
      <c r="H212" s="253"/>
      <c r="I212" s="253"/>
      <c r="J212" s="253"/>
      <c r="K212" s="253"/>
      <c r="L212" s="253"/>
      <c r="M212" s="243"/>
      <c r="N212" s="252"/>
      <c r="O212" s="252"/>
      <c r="P212" s="252"/>
      <c r="Q212" s="252"/>
      <c r="R212" s="252"/>
      <c r="S212" s="252"/>
      <c r="T212" s="252"/>
      <c r="U212" s="252"/>
      <c r="V212" s="252"/>
      <c r="W212" s="252"/>
      <c r="X212" s="252"/>
      <c r="Y212" s="252"/>
      <c r="Z212" s="252"/>
      <c r="AA212" s="252"/>
      <c r="AB212" s="252"/>
      <c r="AC212" s="252"/>
      <c r="AD212" s="252"/>
      <c r="AE212" s="1003"/>
      <c r="AF212" s="1003"/>
      <c r="AG212" s="1003"/>
    </row>
    <row r="213" spans="1:33" x14ac:dyDescent="0.25">
      <c r="A213" s="991" t="s">
        <v>530</v>
      </c>
      <c r="B213" s="992" t="s">
        <v>522</v>
      </c>
      <c r="C213" s="991"/>
      <c r="D213" s="991"/>
      <c r="E213" s="1002"/>
      <c r="F213" s="253"/>
      <c r="G213" s="253"/>
      <c r="H213" s="253"/>
      <c r="I213" s="253"/>
      <c r="J213" s="253"/>
      <c r="K213" s="253"/>
      <c r="L213" s="253"/>
      <c r="M213" s="253"/>
      <c r="N213" s="243"/>
      <c r="O213" s="252"/>
      <c r="P213" s="252"/>
      <c r="Q213" s="252"/>
      <c r="R213" s="252"/>
      <c r="S213" s="252"/>
      <c r="T213" s="252"/>
      <c r="U213" s="252"/>
      <c r="V213" s="252"/>
      <c r="W213" s="252"/>
      <c r="X213" s="252"/>
      <c r="Y213" s="252"/>
      <c r="Z213" s="252"/>
      <c r="AA213" s="252"/>
      <c r="AB213" s="252"/>
      <c r="AC213" s="252"/>
      <c r="AD213" s="252"/>
      <c r="AE213" s="1003"/>
      <c r="AF213" s="1003"/>
      <c r="AG213" s="1003"/>
    </row>
    <row r="214" spans="1:33" x14ac:dyDescent="0.25">
      <c r="A214" s="991" t="s">
        <v>530</v>
      </c>
      <c r="B214" s="992" t="s">
        <v>523</v>
      </c>
      <c r="C214" s="241"/>
      <c r="D214" s="991"/>
      <c r="E214" s="1002"/>
      <c r="F214" s="253"/>
      <c r="G214" s="253"/>
      <c r="H214" s="253"/>
      <c r="I214" s="253"/>
      <c r="J214" s="253"/>
      <c r="K214" s="253"/>
      <c r="L214" s="253"/>
      <c r="M214" s="253"/>
      <c r="N214" s="253"/>
      <c r="O214" s="243"/>
      <c r="P214" s="252"/>
      <c r="Q214" s="252"/>
      <c r="R214" s="252"/>
      <c r="S214" s="252"/>
      <c r="T214" s="252"/>
      <c r="U214" s="252"/>
      <c r="V214" s="252"/>
      <c r="W214" s="252"/>
      <c r="X214" s="252"/>
      <c r="Y214" s="252"/>
      <c r="Z214" s="252"/>
      <c r="AA214" s="252"/>
      <c r="AB214" s="252"/>
      <c r="AC214" s="252"/>
      <c r="AD214" s="252"/>
      <c r="AE214" s="1003"/>
      <c r="AF214" s="1003"/>
      <c r="AG214" s="1003"/>
    </row>
    <row r="215" spans="1:33" x14ac:dyDescent="0.25">
      <c r="A215" s="991" t="s">
        <v>530</v>
      </c>
      <c r="B215" s="992" t="s">
        <v>524</v>
      </c>
      <c r="C215" s="241"/>
      <c r="D215" s="991"/>
      <c r="E215" s="1002"/>
      <c r="F215" s="253"/>
      <c r="G215" s="253"/>
      <c r="H215" s="253"/>
      <c r="I215" s="253"/>
      <c r="J215" s="253"/>
      <c r="K215" s="253"/>
      <c r="L215" s="253"/>
      <c r="M215" s="253"/>
      <c r="N215" s="253"/>
      <c r="O215" s="253"/>
      <c r="P215" s="243"/>
      <c r="Q215" s="252"/>
      <c r="R215" s="252"/>
      <c r="S215" s="252"/>
      <c r="T215" s="252"/>
      <c r="U215" s="252"/>
      <c r="V215" s="252"/>
      <c r="W215" s="252"/>
      <c r="X215" s="252"/>
      <c r="Y215" s="252"/>
      <c r="Z215" s="252"/>
      <c r="AA215" s="252"/>
      <c r="AB215" s="252"/>
      <c r="AC215" s="252"/>
      <c r="AD215" s="252"/>
      <c r="AE215" s="1003"/>
      <c r="AF215" s="1003"/>
      <c r="AG215" s="1003"/>
    </row>
    <row r="216" spans="1:33" x14ac:dyDescent="0.25">
      <c r="A216" s="991" t="s">
        <v>530</v>
      </c>
      <c r="B216" s="992" t="s">
        <v>525</v>
      </c>
      <c r="C216" s="241"/>
      <c r="D216" s="241"/>
      <c r="E216" s="1002"/>
      <c r="F216" s="253"/>
      <c r="G216" s="253"/>
      <c r="H216" s="253"/>
      <c r="I216" s="253"/>
      <c r="J216" s="253"/>
      <c r="K216" s="253"/>
      <c r="L216" s="253"/>
      <c r="M216" s="253"/>
      <c r="N216" s="253"/>
      <c r="O216" s="253"/>
      <c r="P216" s="253"/>
      <c r="Q216" s="243"/>
      <c r="R216" s="252"/>
      <c r="S216" s="252"/>
      <c r="T216" s="252"/>
      <c r="U216" s="252"/>
      <c r="V216" s="252"/>
      <c r="W216" s="252"/>
      <c r="X216" s="252"/>
      <c r="Y216" s="252"/>
      <c r="Z216" s="252"/>
      <c r="AA216" s="252"/>
      <c r="AB216" s="252"/>
      <c r="AC216" s="252"/>
      <c r="AD216" s="252"/>
      <c r="AE216" s="1003"/>
      <c r="AF216" s="1003"/>
      <c r="AG216" s="1003"/>
    </row>
    <row r="217" spans="1:33" x14ac:dyDescent="0.25">
      <c r="A217" s="991" t="s">
        <v>530</v>
      </c>
      <c r="B217" s="992" t="s">
        <v>526</v>
      </c>
      <c r="C217" s="241"/>
      <c r="D217" s="241"/>
      <c r="E217" s="1002"/>
      <c r="F217" s="253"/>
      <c r="G217" s="253"/>
      <c r="H217" s="253"/>
      <c r="I217" s="253"/>
      <c r="J217" s="253"/>
      <c r="K217" s="253"/>
      <c r="L217" s="253"/>
      <c r="M217" s="253"/>
      <c r="N217" s="253"/>
      <c r="O217" s="253"/>
      <c r="P217" s="253"/>
      <c r="Q217" s="253"/>
      <c r="R217" s="243"/>
      <c r="S217" s="252"/>
      <c r="T217" s="252"/>
      <c r="U217" s="252"/>
      <c r="V217" s="252"/>
      <c r="W217" s="252"/>
      <c r="X217" s="252"/>
      <c r="Y217" s="252"/>
      <c r="Z217" s="252"/>
      <c r="AA217" s="252"/>
      <c r="AB217" s="252"/>
      <c r="AC217" s="252"/>
      <c r="AD217" s="252"/>
      <c r="AE217" s="1003"/>
      <c r="AF217" s="1003"/>
      <c r="AG217" s="1003"/>
    </row>
    <row r="218" spans="1:33" x14ac:dyDescent="0.25">
      <c r="A218" s="991" t="s">
        <v>530</v>
      </c>
      <c r="B218" s="992" t="s">
        <v>527</v>
      </c>
      <c r="C218" s="241"/>
      <c r="D218" s="241"/>
      <c r="E218" s="1002"/>
      <c r="F218" s="253"/>
      <c r="G218" s="253"/>
      <c r="H218" s="253"/>
      <c r="I218" s="253"/>
      <c r="J218" s="253"/>
      <c r="K218" s="253"/>
      <c r="L218" s="253"/>
      <c r="M218" s="253"/>
      <c r="N218" s="253"/>
      <c r="O218" s="253"/>
      <c r="P218" s="253"/>
      <c r="Q218" s="253"/>
      <c r="R218" s="253"/>
      <c r="S218" s="243"/>
      <c r="T218" s="252"/>
      <c r="U218" s="252"/>
      <c r="V218" s="252"/>
      <c r="W218" s="252"/>
      <c r="X218" s="252"/>
      <c r="Y218" s="252"/>
      <c r="Z218" s="252"/>
      <c r="AA218" s="252"/>
      <c r="AB218" s="252"/>
      <c r="AC218" s="252"/>
      <c r="AD218" s="252"/>
      <c r="AE218" s="1003"/>
      <c r="AF218" s="1003"/>
      <c r="AG218" s="1003"/>
    </row>
    <row r="219" spans="1:33" x14ac:dyDescent="0.25">
      <c r="A219" s="991" t="s">
        <v>530</v>
      </c>
      <c r="B219" s="992" t="s">
        <v>531</v>
      </c>
      <c r="C219" s="241"/>
      <c r="D219" s="241"/>
      <c r="E219" s="1005"/>
      <c r="F219" s="253"/>
      <c r="G219" s="253"/>
      <c r="H219" s="253"/>
      <c r="I219" s="253"/>
      <c r="J219" s="253"/>
      <c r="K219" s="253"/>
      <c r="L219" s="253"/>
      <c r="M219" s="253"/>
      <c r="N219" s="253"/>
      <c r="O219" s="253"/>
      <c r="P219" s="253"/>
      <c r="Q219" s="253"/>
      <c r="R219" s="253"/>
      <c r="S219" s="253"/>
      <c r="T219" s="243"/>
      <c r="U219" s="252"/>
      <c r="V219" s="252"/>
      <c r="W219" s="252"/>
      <c r="X219" s="252"/>
      <c r="Y219" s="252"/>
      <c r="Z219" s="252"/>
      <c r="AA219" s="252"/>
      <c r="AB219" s="252"/>
      <c r="AC219" s="252"/>
      <c r="AD219" s="252"/>
      <c r="AE219" s="1003"/>
      <c r="AF219" s="1003"/>
      <c r="AG219" s="1003"/>
    </row>
    <row r="220" spans="1:33" x14ac:dyDescent="0.25">
      <c r="A220" s="991" t="s">
        <v>530</v>
      </c>
      <c r="B220" s="992" t="s">
        <v>532</v>
      </c>
      <c r="C220" s="241"/>
      <c r="D220" s="241"/>
      <c r="E220" s="1005"/>
      <c r="F220" s="253"/>
      <c r="G220" s="253"/>
      <c r="H220" s="253"/>
      <c r="I220" s="253"/>
      <c r="J220" s="253"/>
      <c r="K220" s="253"/>
      <c r="L220" s="253"/>
      <c r="M220" s="253"/>
      <c r="N220" s="253"/>
      <c r="O220" s="253"/>
      <c r="P220" s="253"/>
      <c r="Q220" s="253"/>
      <c r="R220" s="253"/>
      <c r="S220" s="253"/>
      <c r="T220" s="253"/>
      <c r="U220" s="243"/>
      <c r="V220" s="252"/>
      <c r="W220" s="252"/>
      <c r="X220" s="252"/>
      <c r="Y220" s="252"/>
      <c r="Z220" s="252"/>
      <c r="AA220" s="252"/>
      <c r="AB220" s="252"/>
      <c r="AC220" s="252"/>
      <c r="AD220" s="252"/>
      <c r="AE220" s="1003"/>
      <c r="AF220" s="1003"/>
      <c r="AG220" s="1003"/>
    </row>
    <row r="221" spans="1:33" x14ac:dyDescent="0.25">
      <c r="A221" s="991" t="s">
        <v>530</v>
      </c>
      <c r="B221" s="992" t="s">
        <v>533</v>
      </c>
      <c r="C221" s="241"/>
      <c r="D221" s="241"/>
      <c r="E221" s="1005"/>
      <c r="F221" s="253"/>
      <c r="G221" s="253"/>
      <c r="H221" s="253"/>
      <c r="I221" s="253"/>
      <c r="J221" s="253"/>
      <c r="K221" s="253"/>
      <c r="L221" s="253"/>
      <c r="M221" s="253"/>
      <c r="N221" s="253"/>
      <c r="O221" s="253"/>
      <c r="P221" s="253"/>
      <c r="Q221" s="253"/>
      <c r="R221" s="253"/>
      <c r="S221" s="253"/>
      <c r="T221" s="253"/>
      <c r="U221" s="253"/>
      <c r="V221" s="243"/>
      <c r="W221" s="252"/>
      <c r="X221" s="252"/>
      <c r="Y221" s="252"/>
      <c r="Z221" s="252"/>
      <c r="AA221" s="252"/>
      <c r="AB221" s="252"/>
      <c r="AC221" s="252"/>
      <c r="AD221" s="252"/>
      <c r="AE221" s="1003"/>
      <c r="AF221" s="1003"/>
      <c r="AG221" s="1003"/>
    </row>
    <row r="222" spans="1:33" x14ac:dyDescent="0.25">
      <c r="A222" s="991" t="s">
        <v>530</v>
      </c>
      <c r="B222" s="992" t="s">
        <v>543</v>
      </c>
      <c r="C222" s="241"/>
      <c r="D222" s="241"/>
      <c r="E222" s="1005"/>
      <c r="F222" s="253"/>
      <c r="G222" s="253"/>
      <c r="H222" s="253"/>
      <c r="I222" s="253"/>
      <c r="J222" s="253"/>
      <c r="K222" s="253"/>
      <c r="L222" s="253"/>
      <c r="M222" s="253"/>
      <c r="N222" s="253"/>
      <c r="O222" s="253"/>
      <c r="P222" s="253"/>
      <c r="Q222" s="253"/>
      <c r="R222" s="253"/>
      <c r="S222" s="253"/>
      <c r="T222" s="253"/>
      <c r="U222" s="253"/>
      <c r="V222" s="253"/>
      <c r="W222" s="243"/>
      <c r="X222" s="252"/>
      <c r="Y222" s="252"/>
      <c r="Z222" s="252"/>
      <c r="AA222" s="252"/>
      <c r="AB222" s="252"/>
      <c r="AC222" s="252"/>
      <c r="AD222" s="252"/>
      <c r="AE222" s="1003"/>
      <c r="AF222" s="1003"/>
      <c r="AG222" s="1003"/>
    </row>
    <row r="223" spans="1:33" x14ac:dyDescent="0.25">
      <c r="A223" s="991" t="s">
        <v>530</v>
      </c>
      <c r="B223" s="992" t="s">
        <v>544</v>
      </c>
      <c r="C223" s="241"/>
      <c r="D223" s="241"/>
      <c r="E223" s="1005"/>
      <c r="F223" s="253"/>
      <c r="G223" s="253"/>
      <c r="H223" s="253"/>
      <c r="I223" s="253"/>
      <c r="J223" s="253"/>
      <c r="K223" s="253"/>
      <c r="L223" s="253"/>
      <c r="M223" s="253"/>
      <c r="N223" s="253"/>
      <c r="O223" s="253"/>
      <c r="P223" s="253"/>
      <c r="Q223" s="253"/>
      <c r="R223" s="253"/>
      <c r="S223" s="253"/>
      <c r="T223" s="253"/>
      <c r="U223" s="253"/>
      <c r="V223" s="253"/>
      <c r="W223" s="253"/>
      <c r="X223" s="243"/>
      <c r="Y223" s="252"/>
      <c r="Z223" s="252"/>
      <c r="AA223" s="252"/>
      <c r="AB223" s="252"/>
      <c r="AC223" s="252"/>
      <c r="AD223" s="252"/>
      <c r="AE223" s="1003"/>
      <c r="AF223" s="1003"/>
      <c r="AG223" s="1003"/>
    </row>
    <row r="224" spans="1:33" x14ac:dyDescent="0.25">
      <c r="A224" s="991" t="s">
        <v>530</v>
      </c>
      <c r="B224" s="992" t="s">
        <v>545</v>
      </c>
      <c r="C224" s="241"/>
      <c r="D224" s="241"/>
      <c r="E224" s="1005"/>
      <c r="F224" s="253"/>
      <c r="G224" s="253"/>
      <c r="H224" s="253"/>
      <c r="I224" s="253"/>
      <c r="J224" s="253"/>
      <c r="K224" s="253"/>
      <c r="L224" s="253"/>
      <c r="M224" s="253"/>
      <c r="N224" s="253"/>
      <c r="O224" s="253"/>
      <c r="P224" s="253"/>
      <c r="Q224" s="253"/>
      <c r="R224" s="253"/>
      <c r="S224" s="253"/>
      <c r="T224" s="253"/>
      <c r="U224" s="253"/>
      <c r="V224" s="253"/>
      <c r="W224" s="253"/>
      <c r="X224" s="253"/>
      <c r="Y224" s="243"/>
      <c r="Z224" s="1003"/>
      <c r="AA224" s="1003"/>
      <c r="AB224" s="1003"/>
      <c r="AC224" s="1003"/>
      <c r="AD224" s="1003"/>
      <c r="AE224" s="1003"/>
      <c r="AF224" s="1003"/>
      <c r="AG224" s="1003"/>
    </row>
    <row r="225" spans="1:33" x14ac:dyDescent="0.25">
      <c r="A225" s="991" t="s">
        <v>530</v>
      </c>
      <c r="B225" s="992" t="s">
        <v>1532</v>
      </c>
      <c r="C225" s="241"/>
      <c r="D225" s="241"/>
      <c r="E225" s="1005"/>
      <c r="F225" s="253"/>
      <c r="G225" s="253"/>
      <c r="H225" s="253"/>
      <c r="I225" s="253"/>
      <c r="J225" s="253"/>
      <c r="K225" s="253"/>
      <c r="L225" s="253"/>
      <c r="M225" s="253"/>
      <c r="N225" s="253"/>
      <c r="O225" s="253"/>
      <c r="P225" s="253"/>
      <c r="Q225" s="253"/>
      <c r="R225" s="253"/>
      <c r="S225" s="253"/>
      <c r="T225" s="253"/>
      <c r="U225" s="253"/>
      <c r="V225" s="253"/>
      <c r="W225" s="253"/>
      <c r="X225" s="253"/>
      <c r="Y225" s="253"/>
      <c r="Z225" s="243"/>
      <c r="AA225" s="252"/>
      <c r="AB225" s="252"/>
      <c r="AC225" s="252"/>
      <c r="AD225" s="252"/>
      <c r="AE225" s="241"/>
      <c r="AF225" s="241"/>
      <c r="AG225" s="1003"/>
    </row>
    <row r="226" spans="1:33" x14ac:dyDescent="0.25">
      <c r="A226" s="991" t="s">
        <v>530</v>
      </c>
      <c r="B226" s="992" t="s">
        <v>1533</v>
      </c>
      <c r="C226" s="241"/>
      <c r="D226" s="241"/>
      <c r="E226" s="1005"/>
      <c r="F226" s="253"/>
      <c r="G226" s="253"/>
      <c r="H226" s="253"/>
      <c r="I226" s="253"/>
      <c r="J226" s="253"/>
      <c r="K226" s="253"/>
      <c r="L226" s="253"/>
      <c r="M226" s="253"/>
      <c r="N226" s="253"/>
      <c r="O226" s="253"/>
      <c r="P226" s="253"/>
      <c r="Q226" s="253"/>
      <c r="R226" s="253"/>
      <c r="S226" s="253"/>
      <c r="T226" s="253"/>
      <c r="U226" s="253"/>
      <c r="V226" s="253"/>
      <c r="W226" s="253"/>
      <c r="X226" s="253"/>
      <c r="Y226" s="253"/>
      <c r="Z226" s="253"/>
      <c r="AA226" s="243"/>
      <c r="AB226" s="252"/>
      <c r="AC226" s="252"/>
      <c r="AD226" s="252"/>
      <c r="AE226" s="241"/>
      <c r="AF226" s="241"/>
      <c r="AG226" s="1003"/>
    </row>
    <row r="227" spans="1:33" x14ac:dyDescent="0.25">
      <c r="A227" s="991" t="s">
        <v>530</v>
      </c>
      <c r="B227" s="992" t="s">
        <v>1534</v>
      </c>
      <c r="C227" s="241"/>
      <c r="D227" s="241"/>
      <c r="E227" s="1005"/>
      <c r="F227" s="253"/>
      <c r="G227" s="253"/>
      <c r="H227" s="253"/>
      <c r="I227" s="253"/>
      <c r="J227" s="253"/>
      <c r="K227" s="253"/>
      <c r="L227" s="253"/>
      <c r="M227" s="253"/>
      <c r="N227" s="253"/>
      <c r="O227" s="253"/>
      <c r="P227" s="253"/>
      <c r="Q227" s="253"/>
      <c r="R227" s="253"/>
      <c r="S227" s="253"/>
      <c r="T227" s="253"/>
      <c r="U227" s="253"/>
      <c r="V227" s="253"/>
      <c r="W227" s="253"/>
      <c r="X227" s="253"/>
      <c r="Y227" s="253"/>
      <c r="Z227" s="253"/>
      <c r="AA227" s="253"/>
      <c r="AB227" s="243"/>
      <c r="AC227" s="252"/>
      <c r="AD227" s="252"/>
      <c r="AE227" s="241"/>
      <c r="AF227" s="241"/>
      <c r="AG227" s="1003"/>
    </row>
    <row r="228" spans="1:33" x14ac:dyDescent="0.25">
      <c r="A228" s="991" t="s">
        <v>530</v>
      </c>
      <c r="B228" s="992" t="s">
        <v>1535</v>
      </c>
      <c r="C228" s="241"/>
      <c r="D228" s="241"/>
      <c r="E228" s="1005"/>
      <c r="F228" s="253"/>
      <c r="G228" s="253"/>
      <c r="H228" s="253"/>
      <c r="I228" s="253"/>
      <c r="J228" s="253"/>
      <c r="K228" s="253"/>
      <c r="L228" s="253"/>
      <c r="M228" s="253"/>
      <c r="N228" s="253"/>
      <c r="O228" s="253"/>
      <c r="P228" s="253"/>
      <c r="Q228" s="253"/>
      <c r="R228" s="253"/>
      <c r="S228" s="253"/>
      <c r="T228" s="253"/>
      <c r="U228" s="253"/>
      <c r="V228" s="253"/>
      <c r="W228" s="253"/>
      <c r="X228" s="253"/>
      <c r="Y228" s="253"/>
      <c r="Z228" s="253"/>
      <c r="AA228" s="253"/>
      <c r="AB228" s="253"/>
      <c r="AC228" s="243"/>
      <c r="AD228" s="252"/>
      <c r="AE228" s="241"/>
      <c r="AF228" s="241"/>
      <c r="AG228" s="1003"/>
    </row>
    <row r="229" spans="1:33" x14ac:dyDescent="0.25">
      <c r="A229" s="991" t="s">
        <v>530</v>
      </c>
      <c r="B229" s="992" t="s">
        <v>1536</v>
      </c>
      <c r="C229" s="241"/>
      <c r="D229" s="241"/>
      <c r="E229" s="1005"/>
      <c r="F229" s="253"/>
      <c r="G229" s="253"/>
      <c r="H229" s="253"/>
      <c r="I229" s="253"/>
      <c r="J229" s="253"/>
      <c r="K229" s="253"/>
      <c r="L229" s="253"/>
      <c r="M229" s="253"/>
      <c r="N229" s="253"/>
      <c r="O229" s="253"/>
      <c r="P229" s="253"/>
      <c r="Q229" s="253"/>
      <c r="R229" s="253"/>
      <c r="S229" s="253"/>
      <c r="T229" s="253"/>
      <c r="U229" s="253"/>
      <c r="V229" s="253"/>
      <c r="W229" s="253"/>
      <c r="X229" s="253"/>
      <c r="Y229" s="253"/>
      <c r="Z229" s="253"/>
      <c r="AA229" s="253"/>
      <c r="AB229" s="253"/>
      <c r="AC229" s="253"/>
      <c r="AD229" s="243"/>
      <c r="AE229" s="241"/>
      <c r="AF229" s="241"/>
      <c r="AG229" s="1003"/>
    </row>
    <row r="230" spans="1:33" ht="13" x14ac:dyDescent="0.3">
      <c r="A230" s="995"/>
      <c r="B230" s="996" t="s">
        <v>271</v>
      </c>
      <c r="C230" s="242"/>
      <c r="D230" s="242"/>
      <c r="E230" s="242"/>
      <c r="F230" s="242"/>
      <c r="G230" s="242"/>
      <c r="H230" s="242"/>
      <c r="I230" s="242"/>
      <c r="J230" s="242"/>
      <c r="K230" s="242"/>
      <c r="L230" s="242"/>
      <c r="M230" s="242"/>
      <c r="N230" s="242"/>
      <c r="O230" s="242"/>
      <c r="P230" s="242"/>
      <c r="Q230" s="242"/>
      <c r="R230" s="242"/>
      <c r="S230" s="242"/>
      <c r="T230" s="242"/>
      <c r="U230" s="242"/>
      <c r="V230" s="242"/>
      <c r="W230" s="242"/>
      <c r="X230" s="242"/>
      <c r="Y230" s="242"/>
      <c r="Z230" s="242"/>
      <c r="AA230" s="242"/>
      <c r="AB230" s="242"/>
      <c r="AC230" s="242"/>
      <c r="AD230" s="242"/>
      <c r="AE230" s="242"/>
      <c r="AF230" s="242"/>
      <c r="AG230" s="242"/>
    </row>
    <row r="231" spans="1:33" x14ac:dyDescent="0.25">
      <c r="C231" s="1007"/>
    </row>
    <row r="234" spans="1:33" ht="13" x14ac:dyDescent="0.3">
      <c r="B234" s="986" t="s">
        <v>542</v>
      </c>
      <c r="F234" s="987" t="s">
        <v>10</v>
      </c>
    </row>
    <row r="235" spans="1:33" ht="26.15" customHeight="1" x14ac:dyDescent="0.35">
      <c r="A235" s="988"/>
      <c r="B235" s="1001" t="s">
        <v>413</v>
      </c>
      <c r="C235" s="1885" t="s">
        <v>512</v>
      </c>
      <c r="D235" s="1885" t="s">
        <v>513</v>
      </c>
      <c r="E235" s="1885" t="s">
        <v>583</v>
      </c>
      <c r="F235" s="1887" t="s">
        <v>584</v>
      </c>
      <c r="G235" s="1888"/>
      <c r="H235" s="1888"/>
      <c r="I235" s="1888"/>
      <c r="J235" s="1888"/>
      <c r="K235" s="1888"/>
      <c r="L235" s="1888"/>
      <c r="M235" s="1888"/>
      <c r="N235" s="1888"/>
      <c r="O235" s="1888"/>
      <c r="P235" s="1888"/>
      <c r="Q235" s="1888"/>
      <c r="R235" s="1888"/>
      <c r="S235" s="1888"/>
      <c r="T235" s="1888"/>
      <c r="U235" s="1888"/>
      <c r="V235" s="1888"/>
      <c r="W235" s="1888"/>
      <c r="X235" s="1888"/>
      <c r="Y235" s="1888"/>
      <c r="Z235" s="1888"/>
      <c r="AA235" s="1888"/>
      <c r="AB235" s="1888"/>
      <c r="AC235" s="1888"/>
      <c r="AD235" s="1889"/>
      <c r="AE235" s="989" t="s">
        <v>535</v>
      </c>
      <c r="AF235" s="989" t="s">
        <v>528</v>
      </c>
      <c r="AG235" s="989" t="s">
        <v>536</v>
      </c>
    </row>
    <row r="236" spans="1:33" ht="12.9" customHeight="1" x14ac:dyDescent="0.25">
      <c r="A236" s="988"/>
      <c r="B236" s="1001"/>
      <c r="C236" s="1886"/>
      <c r="D236" s="1886"/>
      <c r="E236" s="1886"/>
      <c r="F236" s="990" t="s">
        <v>514</v>
      </c>
      <c r="G236" s="990" t="s">
        <v>515</v>
      </c>
      <c r="H236" s="990" t="s">
        <v>516</v>
      </c>
      <c r="I236" s="990" t="s">
        <v>517</v>
      </c>
      <c r="J236" s="990" t="s">
        <v>518</v>
      </c>
      <c r="K236" s="990" t="s">
        <v>519</v>
      </c>
      <c r="L236" s="990" t="s">
        <v>520</v>
      </c>
      <c r="M236" s="990" t="s">
        <v>521</v>
      </c>
      <c r="N236" s="990" t="s">
        <v>522</v>
      </c>
      <c r="O236" s="990" t="s">
        <v>523</v>
      </c>
      <c r="P236" s="990" t="s">
        <v>524</v>
      </c>
      <c r="Q236" s="990" t="s">
        <v>525</v>
      </c>
      <c r="R236" s="990" t="s">
        <v>526</v>
      </c>
      <c r="S236" s="990" t="s">
        <v>527</v>
      </c>
      <c r="T236" s="990" t="s">
        <v>325</v>
      </c>
      <c r="U236" s="990" t="s">
        <v>503</v>
      </c>
      <c r="V236" s="990" t="s">
        <v>504</v>
      </c>
      <c r="W236" s="990" t="s">
        <v>505</v>
      </c>
      <c r="X236" s="990" t="s">
        <v>506</v>
      </c>
      <c r="Y236" s="990" t="s">
        <v>507</v>
      </c>
      <c r="Z236" s="990" t="s">
        <v>1067</v>
      </c>
      <c r="AA236" s="990" t="s">
        <v>1068</v>
      </c>
      <c r="AB236" s="990" t="s">
        <v>1069</v>
      </c>
      <c r="AC236" s="990" t="s">
        <v>1070</v>
      </c>
      <c r="AD236" s="990" t="s">
        <v>1071</v>
      </c>
      <c r="AE236" s="989"/>
      <c r="AF236" s="989"/>
      <c r="AG236" s="989"/>
    </row>
    <row r="237" spans="1:33" x14ac:dyDescent="0.25">
      <c r="A237" s="991" t="s">
        <v>529</v>
      </c>
      <c r="B237" s="992">
        <v>2005</v>
      </c>
      <c r="C237" s="991"/>
      <c r="D237" s="991"/>
      <c r="E237" s="1002"/>
      <c r="F237" s="252"/>
      <c r="G237" s="252"/>
      <c r="H237" s="252"/>
      <c r="I237" s="252"/>
      <c r="J237" s="252"/>
      <c r="K237" s="252"/>
      <c r="L237" s="252"/>
      <c r="M237" s="252"/>
      <c r="N237" s="252"/>
      <c r="O237" s="252"/>
      <c r="P237" s="252"/>
      <c r="Q237" s="252"/>
      <c r="R237" s="252"/>
      <c r="S237" s="252"/>
      <c r="T237" s="252"/>
      <c r="U237" s="252"/>
      <c r="V237" s="252"/>
      <c r="W237" s="252"/>
      <c r="X237" s="252"/>
      <c r="Y237" s="252"/>
      <c r="Z237" s="252"/>
      <c r="AA237" s="252"/>
      <c r="AB237" s="252"/>
      <c r="AC237" s="252"/>
      <c r="AD237" s="252"/>
      <c r="AE237" s="1003"/>
      <c r="AF237" s="1003"/>
      <c r="AG237" s="1003"/>
    </row>
    <row r="238" spans="1:33" x14ac:dyDescent="0.25">
      <c r="A238" s="991" t="s">
        <v>530</v>
      </c>
      <c r="B238" s="992" t="s">
        <v>514</v>
      </c>
      <c r="C238" s="991"/>
      <c r="D238" s="991"/>
      <c r="E238" s="1002"/>
      <c r="F238" s="243"/>
      <c r="G238" s="252"/>
      <c r="H238" s="252"/>
      <c r="I238" s="252"/>
      <c r="J238" s="252"/>
      <c r="K238" s="252"/>
      <c r="L238" s="252"/>
      <c r="M238" s="252"/>
      <c r="N238" s="252"/>
      <c r="O238" s="252"/>
      <c r="P238" s="252"/>
      <c r="Q238" s="252"/>
      <c r="R238" s="252"/>
      <c r="S238" s="252"/>
      <c r="T238" s="252"/>
      <c r="U238" s="252"/>
      <c r="V238" s="252"/>
      <c r="W238" s="252"/>
      <c r="X238" s="252"/>
      <c r="Y238" s="252"/>
      <c r="Z238" s="252"/>
      <c r="AA238" s="252"/>
      <c r="AB238" s="252"/>
      <c r="AC238" s="252"/>
      <c r="AD238" s="252"/>
      <c r="AE238" s="1003"/>
      <c r="AF238" s="1003"/>
      <c r="AG238" s="1003"/>
    </row>
    <row r="239" spans="1:33" x14ac:dyDescent="0.25">
      <c r="A239" s="991" t="s">
        <v>530</v>
      </c>
      <c r="B239" s="992" t="s">
        <v>515</v>
      </c>
      <c r="C239" s="991"/>
      <c r="D239" s="991"/>
      <c r="E239" s="1002"/>
      <c r="F239" s="253"/>
      <c r="G239" s="243"/>
      <c r="H239" s="252"/>
      <c r="I239" s="252"/>
      <c r="J239" s="252"/>
      <c r="K239" s="252"/>
      <c r="L239" s="252"/>
      <c r="M239" s="252"/>
      <c r="N239" s="252"/>
      <c r="O239" s="252"/>
      <c r="P239" s="252"/>
      <c r="Q239" s="252"/>
      <c r="R239" s="252"/>
      <c r="S239" s="252"/>
      <c r="T239" s="252"/>
      <c r="U239" s="252"/>
      <c r="V239" s="252"/>
      <c r="W239" s="252"/>
      <c r="X239" s="252"/>
      <c r="Y239" s="252"/>
      <c r="Z239" s="252"/>
      <c r="AA239" s="252"/>
      <c r="AB239" s="252"/>
      <c r="AC239" s="252"/>
      <c r="AD239" s="252"/>
      <c r="AE239" s="1003"/>
      <c r="AF239" s="1003"/>
      <c r="AG239" s="1003"/>
    </row>
    <row r="240" spans="1:33" x14ac:dyDescent="0.25">
      <c r="A240" s="991" t="s">
        <v>530</v>
      </c>
      <c r="B240" s="992" t="s">
        <v>516</v>
      </c>
      <c r="C240" s="991"/>
      <c r="D240" s="991"/>
      <c r="E240" s="1002"/>
      <c r="F240" s="253"/>
      <c r="G240" s="253"/>
      <c r="H240" s="243"/>
      <c r="I240" s="252"/>
      <c r="J240" s="252"/>
      <c r="K240" s="252"/>
      <c r="L240" s="252"/>
      <c r="M240" s="252"/>
      <c r="N240" s="252"/>
      <c r="O240" s="252"/>
      <c r="P240" s="252"/>
      <c r="Q240" s="252"/>
      <c r="R240" s="252"/>
      <c r="S240" s="252"/>
      <c r="T240" s="252"/>
      <c r="U240" s="252"/>
      <c r="V240" s="252"/>
      <c r="W240" s="252"/>
      <c r="X240" s="252"/>
      <c r="Y240" s="252"/>
      <c r="Z240" s="252"/>
      <c r="AA240" s="252"/>
      <c r="AB240" s="252"/>
      <c r="AC240" s="252"/>
      <c r="AD240" s="252"/>
      <c r="AE240" s="1003"/>
      <c r="AF240" s="1003"/>
      <c r="AG240" s="1003"/>
    </row>
    <row r="241" spans="1:33" x14ac:dyDescent="0.25">
      <c r="A241" s="991" t="s">
        <v>530</v>
      </c>
      <c r="B241" s="992" t="s">
        <v>517</v>
      </c>
      <c r="C241" s="991"/>
      <c r="D241" s="991"/>
      <c r="E241" s="1002"/>
      <c r="F241" s="253"/>
      <c r="G241" s="253"/>
      <c r="H241" s="253"/>
      <c r="I241" s="243"/>
      <c r="J241" s="252"/>
      <c r="K241" s="252"/>
      <c r="L241" s="252"/>
      <c r="M241" s="252"/>
      <c r="N241" s="252"/>
      <c r="O241" s="252"/>
      <c r="P241" s="252"/>
      <c r="Q241" s="252"/>
      <c r="R241" s="252"/>
      <c r="S241" s="252"/>
      <c r="T241" s="252"/>
      <c r="U241" s="252"/>
      <c r="V241" s="252"/>
      <c r="W241" s="252"/>
      <c r="X241" s="252"/>
      <c r="Y241" s="252"/>
      <c r="Z241" s="252"/>
      <c r="AA241" s="252"/>
      <c r="AB241" s="252"/>
      <c r="AC241" s="252"/>
      <c r="AD241" s="252"/>
      <c r="AE241" s="1003"/>
      <c r="AF241" s="1003"/>
      <c r="AG241" s="1003"/>
    </row>
    <row r="242" spans="1:33" x14ac:dyDescent="0.25">
      <c r="A242" s="991" t="s">
        <v>530</v>
      </c>
      <c r="B242" s="992" t="s">
        <v>518</v>
      </c>
      <c r="C242" s="991"/>
      <c r="D242" s="991"/>
      <c r="E242" s="1002"/>
      <c r="F242" s="253"/>
      <c r="G242" s="253"/>
      <c r="H242" s="253"/>
      <c r="I242" s="253"/>
      <c r="J242" s="243"/>
      <c r="K242" s="252"/>
      <c r="L242" s="252"/>
      <c r="M242" s="252"/>
      <c r="N242" s="252"/>
      <c r="O242" s="252"/>
      <c r="P242" s="252"/>
      <c r="Q242" s="252"/>
      <c r="R242" s="252"/>
      <c r="S242" s="252"/>
      <c r="T242" s="252"/>
      <c r="U242" s="252"/>
      <c r="V242" s="252"/>
      <c r="W242" s="252"/>
      <c r="X242" s="252"/>
      <c r="Y242" s="252"/>
      <c r="Z242" s="252"/>
      <c r="AA242" s="252"/>
      <c r="AB242" s="252"/>
      <c r="AC242" s="252"/>
      <c r="AD242" s="252"/>
      <c r="AE242" s="1003"/>
      <c r="AF242" s="1003"/>
      <c r="AG242" s="1003"/>
    </row>
    <row r="243" spans="1:33" x14ac:dyDescent="0.25">
      <c r="A243" s="991" t="s">
        <v>530</v>
      </c>
      <c r="B243" s="992" t="s">
        <v>519</v>
      </c>
      <c r="C243" s="991"/>
      <c r="D243" s="991"/>
      <c r="E243" s="1002"/>
      <c r="F243" s="253"/>
      <c r="G243" s="253"/>
      <c r="H243" s="253"/>
      <c r="I243" s="253"/>
      <c r="J243" s="253"/>
      <c r="K243" s="243"/>
      <c r="L243" s="252"/>
      <c r="M243" s="252"/>
      <c r="N243" s="252"/>
      <c r="O243" s="252"/>
      <c r="P243" s="252"/>
      <c r="Q243" s="252"/>
      <c r="R243" s="252"/>
      <c r="S243" s="252"/>
      <c r="T243" s="252"/>
      <c r="U243" s="252"/>
      <c r="V243" s="252"/>
      <c r="W243" s="252"/>
      <c r="X243" s="252"/>
      <c r="Y243" s="252"/>
      <c r="Z243" s="252"/>
      <c r="AA243" s="252"/>
      <c r="AB243" s="252"/>
      <c r="AC243" s="252"/>
      <c r="AD243" s="252"/>
      <c r="AE243" s="1003"/>
      <c r="AF243" s="1003"/>
      <c r="AG243" s="1003"/>
    </row>
    <row r="244" spans="1:33" x14ac:dyDescent="0.25">
      <c r="A244" s="991" t="s">
        <v>530</v>
      </c>
      <c r="B244" s="992" t="s">
        <v>520</v>
      </c>
      <c r="C244" s="991"/>
      <c r="D244" s="991"/>
      <c r="E244" s="1002"/>
      <c r="F244" s="253"/>
      <c r="G244" s="253"/>
      <c r="H244" s="253"/>
      <c r="I244" s="253"/>
      <c r="J244" s="253"/>
      <c r="K244" s="253"/>
      <c r="L244" s="243"/>
      <c r="M244" s="252"/>
      <c r="N244" s="252"/>
      <c r="O244" s="252"/>
      <c r="P244" s="252"/>
      <c r="Q244" s="252"/>
      <c r="R244" s="252"/>
      <c r="S244" s="252"/>
      <c r="T244" s="252"/>
      <c r="U244" s="252"/>
      <c r="V244" s="252"/>
      <c r="W244" s="252"/>
      <c r="X244" s="252"/>
      <c r="Y244" s="252"/>
      <c r="Z244" s="252"/>
      <c r="AA244" s="252"/>
      <c r="AB244" s="252"/>
      <c r="AC244" s="252"/>
      <c r="AD244" s="252"/>
      <c r="AE244" s="1003"/>
      <c r="AF244" s="1003"/>
      <c r="AG244" s="1003"/>
    </row>
    <row r="245" spans="1:33" x14ac:dyDescent="0.25">
      <c r="A245" s="991" t="s">
        <v>530</v>
      </c>
      <c r="B245" s="992" t="s">
        <v>521</v>
      </c>
      <c r="C245" s="991"/>
      <c r="D245" s="991"/>
      <c r="E245" s="1002"/>
      <c r="F245" s="253"/>
      <c r="G245" s="253"/>
      <c r="H245" s="253"/>
      <c r="I245" s="253"/>
      <c r="J245" s="253"/>
      <c r="K245" s="253"/>
      <c r="L245" s="253"/>
      <c r="M245" s="243"/>
      <c r="N245" s="252"/>
      <c r="O245" s="252"/>
      <c r="P245" s="252"/>
      <c r="Q245" s="252"/>
      <c r="R245" s="252"/>
      <c r="S245" s="252"/>
      <c r="T245" s="252"/>
      <c r="U245" s="252"/>
      <c r="V245" s="252"/>
      <c r="W245" s="252"/>
      <c r="X245" s="252"/>
      <c r="Y245" s="252"/>
      <c r="Z245" s="252"/>
      <c r="AA245" s="252"/>
      <c r="AB245" s="252"/>
      <c r="AC245" s="252"/>
      <c r="AD245" s="252"/>
      <c r="AE245" s="1003"/>
      <c r="AF245" s="1003"/>
      <c r="AG245" s="1003"/>
    </row>
    <row r="246" spans="1:33" x14ac:dyDescent="0.25">
      <c r="A246" s="991" t="s">
        <v>530</v>
      </c>
      <c r="B246" s="992" t="s">
        <v>522</v>
      </c>
      <c r="C246" s="991"/>
      <c r="D246" s="991"/>
      <c r="E246" s="1002"/>
      <c r="F246" s="253"/>
      <c r="G246" s="253"/>
      <c r="H246" s="253"/>
      <c r="I246" s="253"/>
      <c r="J246" s="253"/>
      <c r="K246" s="253"/>
      <c r="L246" s="253"/>
      <c r="M246" s="253"/>
      <c r="N246" s="243"/>
      <c r="O246" s="252"/>
      <c r="P246" s="252"/>
      <c r="Q246" s="252"/>
      <c r="R246" s="252"/>
      <c r="S246" s="252"/>
      <c r="T246" s="252"/>
      <c r="U246" s="252"/>
      <c r="V246" s="252"/>
      <c r="W246" s="252"/>
      <c r="X246" s="252"/>
      <c r="Y246" s="252"/>
      <c r="Z246" s="252"/>
      <c r="AA246" s="252"/>
      <c r="AB246" s="252"/>
      <c r="AC246" s="252"/>
      <c r="AD246" s="252"/>
      <c r="AE246" s="1003"/>
      <c r="AF246" s="1003"/>
      <c r="AG246" s="1003"/>
    </row>
    <row r="247" spans="1:33" x14ac:dyDescent="0.25">
      <c r="A247" s="991" t="s">
        <v>530</v>
      </c>
      <c r="B247" s="992" t="s">
        <v>523</v>
      </c>
      <c r="C247" s="241"/>
      <c r="D247" s="991"/>
      <c r="E247" s="1002"/>
      <c r="F247" s="253"/>
      <c r="G247" s="253"/>
      <c r="H247" s="253"/>
      <c r="I247" s="253"/>
      <c r="J247" s="253"/>
      <c r="K247" s="253"/>
      <c r="L247" s="253"/>
      <c r="M247" s="253"/>
      <c r="N247" s="253"/>
      <c r="O247" s="243"/>
      <c r="P247" s="252"/>
      <c r="Q247" s="252"/>
      <c r="R247" s="252"/>
      <c r="S247" s="252"/>
      <c r="T247" s="252"/>
      <c r="U247" s="252"/>
      <c r="V247" s="252"/>
      <c r="W247" s="252"/>
      <c r="X247" s="252"/>
      <c r="Y247" s="252"/>
      <c r="Z247" s="252"/>
      <c r="AA247" s="252"/>
      <c r="AB247" s="252"/>
      <c r="AC247" s="252"/>
      <c r="AD247" s="252"/>
      <c r="AE247" s="1003"/>
      <c r="AF247" s="1003"/>
      <c r="AG247" s="1003"/>
    </row>
    <row r="248" spans="1:33" x14ac:dyDescent="0.25">
      <c r="A248" s="991" t="s">
        <v>530</v>
      </c>
      <c r="B248" s="992" t="s">
        <v>524</v>
      </c>
      <c r="C248" s="241"/>
      <c r="D248" s="991"/>
      <c r="E248" s="1002"/>
      <c r="F248" s="253"/>
      <c r="G248" s="253"/>
      <c r="H248" s="253"/>
      <c r="I248" s="253"/>
      <c r="J248" s="253"/>
      <c r="K248" s="253"/>
      <c r="L248" s="253"/>
      <c r="M248" s="253"/>
      <c r="N248" s="253"/>
      <c r="O248" s="253"/>
      <c r="P248" s="243"/>
      <c r="Q248" s="252"/>
      <c r="R248" s="252"/>
      <c r="S248" s="252"/>
      <c r="T248" s="252"/>
      <c r="U248" s="252"/>
      <c r="V248" s="252"/>
      <c r="W248" s="252"/>
      <c r="X248" s="252"/>
      <c r="Y248" s="252"/>
      <c r="Z248" s="252"/>
      <c r="AA248" s="252"/>
      <c r="AB248" s="252"/>
      <c r="AC248" s="252"/>
      <c r="AD248" s="252"/>
      <c r="AE248" s="1003"/>
      <c r="AF248" s="1003"/>
      <c r="AG248" s="1003"/>
    </row>
    <row r="249" spans="1:33" x14ac:dyDescent="0.25">
      <c r="A249" s="991" t="s">
        <v>530</v>
      </c>
      <c r="B249" s="992" t="s">
        <v>525</v>
      </c>
      <c r="C249" s="241"/>
      <c r="D249" s="241"/>
      <c r="E249" s="1002"/>
      <c r="F249" s="253"/>
      <c r="G249" s="253"/>
      <c r="H249" s="253"/>
      <c r="I249" s="253"/>
      <c r="J249" s="253"/>
      <c r="K249" s="253"/>
      <c r="L249" s="253"/>
      <c r="M249" s="253"/>
      <c r="N249" s="253"/>
      <c r="O249" s="253"/>
      <c r="P249" s="253"/>
      <c r="Q249" s="243"/>
      <c r="R249" s="252"/>
      <c r="S249" s="252"/>
      <c r="T249" s="252"/>
      <c r="U249" s="252"/>
      <c r="V249" s="252"/>
      <c r="W249" s="252"/>
      <c r="X249" s="252"/>
      <c r="Y249" s="252"/>
      <c r="Z249" s="252"/>
      <c r="AA249" s="252"/>
      <c r="AB249" s="252"/>
      <c r="AC249" s="252"/>
      <c r="AD249" s="252"/>
      <c r="AE249" s="1003"/>
      <c r="AF249" s="1003"/>
      <c r="AG249" s="1003"/>
    </row>
    <row r="250" spans="1:33" x14ac:dyDescent="0.25">
      <c r="A250" s="991" t="s">
        <v>530</v>
      </c>
      <c r="B250" s="992" t="s">
        <v>526</v>
      </c>
      <c r="C250" s="241"/>
      <c r="D250" s="241"/>
      <c r="E250" s="1002"/>
      <c r="F250" s="253"/>
      <c r="G250" s="253"/>
      <c r="H250" s="253"/>
      <c r="I250" s="253"/>
      <c r="J250" s="253"/>
      <c r="K250" s="253"/>
      <c r="L250" s="253"/>
      <c r="M250" s="253"/>
      <c r="N250" s="253"/>
      <c r="O250" s="253"/>
      <c r="P250" s="253"/>
      <c r="Q250" s="253"/>
      <c r="R250" s="243"/>
      <c r="S250" s="252"/>
      <c r="T250" s="252"/>
      <c r="U250" s="252"/>
      <c r="V250" s="252"/>
      <c r="W250" s="252"/>
      <c r="X250" s="252"/>
      <c r="Y250" s="252"/>
      <c r="Z250" s="252"/>
      <c r="AA250" s="252"/>
      <c r="AB250" s="252"/>
      <c r="AC250" s="252"/>
      <c r="AD250" s="252"/>
      <c r="AE250" s="1003"/>
      <c r="AF250" s="1003"/>
      <c r="AG250" s="1003"/>
    </row>
    <row r="251" spans="1:33" x14ac:dyDescent="0.25">
      <c r="A251" s="991" t="s">
        <v>530</v>
      </c>
      <c r="B251" s="992" t="s">
        <v>527</v>
      </c>
      <c r="C251" s="241"/>
      <c r="D251" s="241"/>
      <c r="E251" s="1002"/>
      <c r="F251" s="253"/>
      <c r="G251" s="253"/>
      <c r="H251" s="253"/>
      <c r="I251" s="253"/>
      <c r="J251" s="253"/>
      <c r="K251" s="253"/>
      <c r="L251" s="253"/>
      <c r="M251" s="253"/>
      <c r="N251" s="253"/>
      <c r="O251" s="253"/>
      <c r="P251" s="253"/>
      <c r="Q251" s="253"/>
      <c r="R251" s="253"/>
      <c r="S251" s="243"/>
      <c r="T251" s="252"/>
      <c r="U251" s="252"/>
      <c r="V251" s="252"/>
      <c r="W251" s="252"/>
      <c r="X251" s="252"/>
      <c r="Y251" s="252"/>
      <c r="Z251" s="252"/>
      <c r="AA251" s="252"/>
      <c r="AB251" s="252"/>
      <c r="AC251" s="252"/>
      <c r="AD251" s="252"/>
      <c r="AE251" s="1003"/>
      <c r="AF251" s="1003"/>
      <c r="AG251" s="1003"/>
    </row>
    <row r="252" spans="1:33" x14ac:dyDescent="0.25">
      <c r="A252" s="991" t="s">
        <v>530</v>
      </c>
      <c r="B252" s="992" t="s">
        <v>531</v>
      </c>
      <c r="C252" s="241"/>
      <c r="D252" s="241"/>
      <c r="E252" s="1005"/>
      <c r="F252" s="253"/>
      <c r="G252" s="253"/>
      <c r="H252" s="253"/>
      <c r="I252" s="253"/>
      <c r="J252" s="253"/>
      <c r="K252" s="253"/>
      <c r="L252" s="253"/>
      <c r="M252" s="253"/>
      <c r="N252" s="253"/>
      <c r="O252" s="253"/>
      <c r="P252" s="253"/>
      <c r="Q252" s="253"/>
      <c r="R252" s="253"/>
      <c r="S252" s="253"/>
      <c r="T252" s="243"/>
      <c r="U252" s="252"/>
      <c r="V252" s="252"/>
      <c r="W252" s="252"/>
      <c r="X252" s="252"/>
      <c r="Y252" s="252"/>
      <c r="Z252" s="252"/>
      <c r="AA252" s="252"/>
      <c r="AB252" s="252"/>
      <c r="AC252" s="252"/>
      <c r="AD252" s="252"/>
      <c r="AE252" s="1003"/>
      <c r="AF252" s="1003"/>
      <c r="AG252" s="1003"/>
    </row>
    <row r="253" spans="1:33" x14ac:dyDescent="0.25">
      <c r="A253" s="991" t="s">
        <v>530</v>
      </c>
      <c r="B253" s="992" t="s">
        <v>532</v>
      </c>
      <c r="C253" s="241"/>
      <c r="D253" s="241"/>
      <c r="E253" s="1005"/>
      <c r="F253" s="253"/>
      <c r="G253" s="253"/>
      <c r="H253" s="253"/>
      <c r="I253" s="253"/>
      <c r="J253" s="253"/>
      <c r="K253" s="253"/>
      <c r="L253" s="253"/>
      <c r="M253" s="253"/>
      <c r="N253" s="253"/>
      <c r="O253" s="253"/>
      <c r="P253" s="253"/>
      <c r="Q253" s="253"/>
      <c r="R253" s="253"/>
      <c r="S253" s="253"/>
      <c r="T253" s="253"/>
      <c r="U253" s="243"/>
      <c r="V253" s="252"/>
      <c r="W253" s="252"/>
      <c r="X253" s="252"/>
      <c r="Y253" s="252"/>
      <c r="Z253" s="252"/>
      <c r="AA253" s="252"/>
      <c r="AB253" s="252"/>
      <c r="AC253" s="252"/>
      <c r="AD253" s="252"/>
      <c r="AE253" s="1003"/>
      <c r="AF253" s="1003"/>
      <c r="AG253" s="1003"/>
    </row>
    <row r="254" spans="1:33" x14ac:dyDescent="0.25">
      <c r="A254" s="991" t="s">
        <v>530</v>
      </c>
      <c r="B254" s="992" t="s">
        <v>533</v>
      </c>
      <c r="C254" s="241"/>
      <c r="D254" s="241"/>
      <c r="E254" s="1005"/>
      <c r="F254" s="253"/>
      <c r="G254" s="253"/>
      <c r="H254" s="253"/>
      <c r="I254" s="253"/>
      <c r="J254" s="253"/>
      <c r="K254" s="253"/>
      <c r="L254" s="253"/>
      <c r="M254" s="253"/>
      <c r="N254" s="253"/>
      <c r="O254" s="253"/>
      <c r="P254" s="253"/>
      <c r="Q254" s="253"/>
      <c r="R254" s="253"/>
      <c r="S254" s="253"/>
      <c r="T254" s="253"/>
      <c r="U254" s="253"/>
      <c r="V254" s="243"/>
      <c r="W254" s="252"/>
      <c r="X254" s="252"/>
      <c r="Y254" s="252"/>
      <c r="Z254" s="252"/>
      <c r="AA254" s="252"/>
      <c r="AB254" s="252"/>
      <c r="AC254" s="252"/>
      <c r="AD254" s="252"/>
      <c r="AE254" s="1003"/>
      <c r="AF254" s="1003"/>
      <c r="AG254" s="1003"/>
    </row>
    <row r="255" spans="1:33" x14ac:dyDescent="0.25">
      <c r="A255" s="991" t="s">
        <v>530</v>
      </c>
      <c r="B255" s="992" t="s">
        <v>543</v>
      </c>
      <c r="C255" s="241"/>
      <c r="D255" s="241"/>
      <c r="E255" s="1005"/>
      <c r="F255" s="253"/>
      <c r="G255" s="253"/>
      <c r="H255" s="253"/>
      <c r="I255" s="253"/>
      <c r="J255" s="253"/>
      <c r="K255" s="253"/>
      <c r="L255" s="253"/>
      <c r="M255" s="253"/>
      <c r="N255" s="253"/>
      <c r="O255" s="253"/>
      <c r="P255" s="253"/>
      <c r="Q255" s="253"/>
      <c r="R255" s="253"/>
      <c r="S255" s="253"/>
      <c r="T255" s="253"/>
      <c r="U255" s="253"/>
      <c r="V255" s="253"/>
      <c r="W255" s="243"/>
      <c r="X255" s="252"/>
      <c r="Y255" s="252"/>
      <c r="Z255" s="252"/>
      <c r="AA255" s="252"/>
      <c r="AB255" s="252"/>
      <c r="AC255" s="252"/>
      <c r="AD255" s="252"/>
      <c r="AE255" s="1003"/>
      <c r="AF255" s="1003"/>
      <c r="AG255" s="1003"/>
    </row>
    <row r="256" spans="1:33" x14ac:dyDescent="0.25">
      <c r="A256" s="991" t="s">
        <v>530</v>
      </c>
      <c r="B256" s="992" t="s">
        <v>544</v>
      </c>
      <c r="C256" s="241"/>
      <c r="D256" s="241"/>
      <c r="E256" s="1005"/>
      <c r="F256" s="253"/>
      <c r="G256" s="253"/>
      <c r="H256" s="253"/>
      <c r="I256" s="253"/>
      <c r="J256" s="253"/>
      <c r="K256" s="253"/>
      <c r="L256" s="253"/>
      <c r="M256" s="253"/>
      <c r="N256" s="253"/>
      <c r="O256" s="253"/>
      <c r="P256" s="253"/>
      <c r="Q256" s="253"/>
      <c r="R256" s="253"/>
      <c r="S256" s="253"/>
      <c r="T256" s="253"/>
      <c r="U256" s="253"/>
      <c r="V256" s="253"/>
      <c r="W256" s="253"/>
      <c r="X256" s="243"/>
      <c r="Y256" s="252"/>
      <c r="Z256" s="252"/>
      <c r="AA256" s="252"/>
      <c r="AB256" s="252"/>
      <c r="AC256" s="252"/>
      <c r="AD256" s="252"/>
      <c r="AE256" s="1003"/>
      <c r="AF256" s="1003"/>
      <c r="AG256" s="1003"/>
    </row>
    <row r="257" spans="1:33" x14ac:dyDescent="0.25">
      <c r="A257" s="991" t="s">
        <v>530</v>
      </c>
      <c r="B257" s="992" t="s">
        <v>545</v>
      </c>
      <c r="C257" s="241"/>
      <c r="D257" s="241"/>
      <c r="E257" s="1005"/>
      <c r="F257" s="253"/>
      <c r="G257" s="253"/>
      <c r="H257" s="253"/>
      <c r="I257" s="253"/>
      <c r="J257" s="253"/>
      <c r="K257" s="253"/>
      <c r="L257" s="253"/>
      <c r="M257" s="253"/>
      <c r="N257" s="253"/>
      <c r="O257" s="253"/>
      <c r="P257" s="253"/>
      <c r="Q257" s="253"/>
      <c r="R257" s="253"/>
      <c r="S257" s="253"/>
      <c r="T257" s="253"/>
      <c r="U257" s="253"/>
      <c r="V257" s="253"/>
      <c r="W257" s="253"/>
      <c r="X257" s="253"/>
      <c r="Y257" s="243"/>
      <c r="Z257" s="1003"/>
      <c r="AA257" s="1003"/>
      <c r="AB257" s="1003"/>
      <c r="AC257" s="1003"/>
      <c r="AD257" s="1003"/>
      <c r="AE257" s="1003"/>
      <c r="AF257" s="1003"/>
      <c r="AG257" s="1003"/>
    </row>
    <row r="258" spans="1:33" x14ac:dyDescent="0.25">
      <c r="A258" s="991" t="s">
        <v>530</v>
      </c>
      <c r="B258" s="992" t="s">
        <v>1532</v>
      </c>
      <c r="C258" s="241"/>
      <c r="D258" s="241"/>
      <c r="E258" s="1005"/>
      <c r="F258" s="253"/>
      <c r="G258" s="253"/>
      <c r="H258" s="253"/>
      <c r="I258" s="253"/>
      <c r="J258" s="253"/>
      <c r="K258" s="253"/>
      <c r="L258" s="253"/>
      <c r="M258" s="253"/>
      <c r="N258" s="253"/>
      <c r="O258" s="253"/>
      <c r="P258" s="253"/>
      <c r="Q258" s="253"/>
      <c r="R258" s="253"/>
      <c r="S258" s="253"/>
      <c r="T258" s="253"/>
      <c r="U258" s="253"/>
      <c r="V258" s="253"/>
      <c r="W258" s="253"/>
      <c r="X258" s="253"/>
      <c r="Y258" s="253"/>
      <c r="Z258" s="243"/>
      <c r="AA258" s="252"/>
      <c r="AB258" s="252"/>
      <c r="AC258" s="252"/>
      <c r="AD258" s="252"/>
      <c r="AE258" s="241"/>
      <c r="AF258" s="241"/>
      <c r="AG258" s="1003"/>
    </row>
    <row r="259" spans="1:33" x14ac:dyDescent="0.25">
      <c r="A259" s="991" t="s">
        <v>530</v>
      </c>
      <c r="B259" s="992" t="s">
        <v>1533</v>
      </c>
      <c r="C259" s="241"/>
      <c r="D259" s="241"/>
      <c r="E259" s="1005"/>
      <c r="F259" s="253"/>
      <c r="G259" s="253"/>
      <c r="H259" s="253"/>
      <c r="I259" s="253"/>
      <c r="J259" s="253"/>
      <c r="K259" s="253"/>
      <c r="L259" s="253"/>
      <c r="M259" s="253"/>
      <c r="N259" s="253"/>
      <c r="O259" s="253"/>
      <c r="P259" s="253"/>
      <c r="Q259" s="253"/>
      <c r="R259" s="253"/>
      <c r="S259" s="253"/>
      <c r="T259" s="253"/>
      <c r="U259" s="253"/>
      <c r="V259" s="253"/>
      <c r="W259" s="253"/>
      <c r="X259" s="253"/>
      <c r="Y259" s="253"/>
      <c r="Z259" s="253"/>
      <c r="AA259" s="243"/>
      <c r="AB259" s="252"/>
      <c r="AC259" s="252"/>
      <c r="AD259" s="252"/>
      <c r="AE259" s="241"/>
      <c r="AF259" s="241"/>
      <c r="AG259" s="1003"/>
    </row>
    <row r="260" spans="1:33" x14ac:dyDescent="0.25">
      <c r="A260" s="991" t="s">
        <v>530</v>
      </c>
      <c r="B260" s="992" t="s">
        <v>1534</v>
      </c>
      <c r="C260" s="241"/>
      <c r="D260" s="241"/>
      <c r="E260" s="1005"/>
      <c r="F260" s="253"/>
      <c r="G260" s="253"/>
      <c r="H260" s="253"/>
      <c r="I260" s="253"/>
      <c r="J260" s="253"/>
      <c r="K260" s="253"/>
      <c r="L260" s="253"/>
      <c r="M260" s="253"/>
      <c r="N260" s="253"/>
      <c r="O260" s="253"/>
      <c r="P260" s="253"/>
      <c r="Q260" s="253"/>
      <c r="R260" s="253"/>
      <c r="S260" s="253"/>
      <c r="T260" s="253"/>
      <c r="U260" s="253"/>
      <c r="V260" s="253"/>
      <c r="W260" s="253"/>
      <c r="X260" s="253"/>
      <c r="Y260" s="253"/>
      <c r="Z260" s="253"/>
      <c r="AA260" s="253"/>
      <c r="AB260" s="243"/>
      <c r="AC260" s="252"/>
      <c r="AD260" s="252"/>
      <c r="AE260" s="241"/>
      <c r="AF260" s="241"/>
      <c r="AG260" s="1003"/>
    </row>
    <row r="261" spans="1:33" x14ac:dyDescent="0.25">
      <c r="A261" s="991" t="s">
        <v>530</v>
      </c>
      <c r="B261" s="992" t="s">
        <v>1535</v>
      </c>
      <c r="C261" s="241"/>
      <c r="D261" s="241"/>
      <c r="E261" s="1005"/>
      <c r="F261" s="253"/>
      <c r="G261" s="253"/>
      <c r="H261" s="253"/>
      <c r="I261" s="253"/>
      <c r="J261" s="253"/>
      <c r="K261" s="253"/>
      <c r="L261" s="253"/>
      <c r="M261" s="253"/>
      <c r="N261" s="253"/>
      <c r="O261" s="253"/>
      <c r="P261" s="253"/>
      <c r="Q261" s="253"/>
      <c r="R261" s="253"/>
      <c r="S261" s="253"/>
      <c r="T261" s="253"/>
      <c r="U261" s="253"/>
      <c r="V261" s="253"/>
      <c r="W261" s="253"/>
      <c r="X261" s="253"/>
      <c r="Y261" s="253"/>
      <c r="Z261" s="253"/>
      <c r="AA261" s="253"/>
      <c r="AB261" s="253"/>
      <c r="AC261" s="243"/>
      <c r="AD261" s="252"/>
      <c r="AE261" s="241"/>
      <c r="AF261" s="241"/>
      <c r="AG261" s="1003"/>
    </row>
    <row r="262" spans="1:33" x14ac:dyDescent="0.25">
      <c r="A262" s="991" t="s">
        <v>530</v>
      </c>
      <c r="B262" s="992" t="s">
        <v>1536</v>
      </c>
      <c r="C262" s="241"/>
      <c r="D262" s="241"/>
      <c r="E262" s="1005"/>
      <c r="F262" s="253"/>
      <c r="G262" s="253"/>
      <c r="H262" s="253"/>
      <c r="I262" s="253"/>
      <c r="J262" s="253"/>
      <c r="K262" s="253"/>
      <c r="L262" s="253"/>
      <c r="M262" s="253"/>
      <c r="N262" s="253"/>
      <c r="O262" s="253"/>
      <c r="P262" s="253"/>
      <c r="Q262" s="253"/>
      <c r="R262" s="253"/>
      <c r="S262" s="253"/>
      <c r="T262" s="253"/>
      <c r="U262" s="253"/>
      <c r="V262" s="253"/>
      <c r="W262" s="253"/>
      <c r="X262" s="253"/>
      <c r="Y262" s="253"/>
      <c r="Z262" s="253"/>
      <c r="AA262" s="253"/>
      <c r="AB262" s="253"/>
      <c r="AC262" s="253"/>
      <c r="AD262" s="243"/>
      <c r="AE262" s="241"/>
      <c r="AF262" s="241"/>
      <c r="AG262" s="1003"/>
    </row>
    <row r="263" spans="1:33" ht="13" x14ac:dyDescent="0.3">
      <c r="A263" s="995"/>
      <c r="B263" s="996" t="s">
        <v>271</v>
      </c>
      <c r="C263" s="242"/>
      <c r="D263" s="242"/>
      <c r="E263" s="242"/>
      <c r="F263" s="242"/>
      <c r="G263" s="242"/>
      <c r="H263" s="242"/>
      <c r="I263" s="242"/>
      <c r="J263" s="242"/>
      <c r="K263" s="242"/>
      <c r="L263" s="242"/>
      <c r="M263" s="242"/>
      <c r="N263" s="242"/>
      <c r="O263" s="242"/>
      <c r="P263" s="242"/>
      <c r="Q263" s="242"/>
      <c r="R263" s="242"/>
      <c r="S263" s="242"/>
      <c r="T263" s="242"/>
      <c r="U263" s="242"/>
      <c r="V263" s="242"/>
      <c r="W263" s="242"/>
      <c r="X263" s="242"/>
      <c r="Y263" s="242"/>
      <c r="Z263" s="242"/>
      <c r="AA263" s="242"/>
      <c r="AB263" s="242"/>
      <c r="AC263" s="242"/>
      <c r="AD263" s="242"/>
      <c r="AE263" s="242"/>
      <c r="AF263" s="242"/>
      <c r="AG263" s="242"/>
    </row>
    <row r="264" spans="1:33" x14ac:dyDescent="0.25">
      <c r="C264" s="1007"/>
    </row>
    <row r="267" spans="1:33" ht="13" x14ac:dyDescent="0.3">
      <c r="B267" s="986" t="s">
        <v>261</v>
      </c>
      <c r="F267" s="987" t="s">
        <v>10</v>
      </c>
    </row>
    <row r="268" spans="1:33" ht="26.15" customHeight="1" x14ac:dyDescent="0.35">
      <c r="A268" s="988"/>
      <c r="B268" s="1001" t="s">
        <v>413</v>
      </c>
      <c r="C268" s="1885" t="s">
        <v>512</v>
      </c>
      <c r="D268" s="1885" t="s">
        <v>513</v>
      </c>
      <c r="E268" s="1885" t="s">
        <v>583</v>
      </c>
      <c r="F268" s="1887" t="s">
        <v>584</v>
      </c>
      <c r="G268" s="1888"/>
      <c r="H268" s="1888"/>
      <c r="I268" s="1888"/>
      <c r="J268" s="1888"/>
      <c r="K268" s="1888"/>
      <c r="L268" s="1888"/>
      <c r="M268" s="1888"/>
      <c r="N268" s="1888"/>
      <c r="O268" s="1888"/>
      <c r="P268" s="1888"/>
      <c r="Q268" s="1888"/>
      <c r="R268" s="1888"/>
      <c r="S268" s="1888"/>
      <c r="T268" s="1888"/>
      <c r="U268" s="1888"/>
      <c r="V268" s="1888"/>
      <c r="W268" s="1888"/>
      <c r="X268" s="1888"/>
      <c r="Y268" s="1888"/>
      <c r="Z268" s="1888"/>
      <c r="AA268" s="1888"/>
      <c r="AB268" s="1888"/>
      <c r="AC268" s="1888"/>
      <c r="AD268" s="1889"/>
      <c r="AE268" s="989" t="s">
        <v>535</v>
      </c>
      <c r="AF268" s="989" t="s">
        <v>528</v>
      </c>
      <c r="AG268" s="989" t="s">
        <v>536</v>
      </c>
    </row>
    <row r="269" spans="1:33" ht="12.9" customHeight="1" x14ac:dyDescent="0.25">
      <c r="A269" s="988"/>
      <c r="B269" s="1001"/>
      <c r="C269" s="1886"/>
      <c r="D269" s="1886"/>
      <c r="E269" s="1886"/>
      <c r="F269" s="990" t="s">
        <v>514</v>
      </c>
      <c r="G269" s="990" t="s">
        <v>515</v>
      </c>
      <c r="H269" s="990" t="s">
        <v>516</v>
      </c>
      <c r="I269" s="990" t="s">
        <v>517</v>
      </c>
      <c r="J269" s="990" t="s">
        <v>518</v>
      </c>
      <c r="K269" s="990" t="s">
        <v>519</v>
      </c>
      <c r="L269" s="990" t="s">
        <v>520</v>
      </c>
      <c r="M269" s="990" t="s">
        <v>521</v>
      </c>
      <c r="N269" s="990" t="s">
        <v>522</v>
      </c>
      <c r="O269" s="990" t="s">
        <v>523</v>
      </c>
      <c r="P269" s="990" t="s">
        <v>524</v>
      </c>
      <c r="Q269" s="990" t="s">
        <v>525</v>
      </c>
      <c r="R269" s="990" t="s">
        <v>526</v>
      </c>
      <c r="S269" s="990" t="s">
        <v>527</v>
      </c>
      <c r="T269" s="990" t="s">
        <v>325</v>
      </c>
      <c r="U269" s="990" t="s">
        <v>503</v>
      </c>
      <c r="V269" s="990" t="s">
        <v>504</v>
      </c>
      <c r="W269" s="990" t="s">
        <v>505</v>
      </c>
      <c r="X269" s="990" t="s">
        <v>506</v>
      </c>
      <c r="Y269" s="990" t="s">
        <v>507</v>
      </c>
      <c r="Z269" s="990" t="s">
        <v>1067</v>
      </c>
      <c r="AA269" s="990" t="s">
        <v>1068</v>
      </c>
      <c r="AB269" s="990" t="s">
        <v>1069</v>
      </c>
      <c r="AC269" s="990" t="s">
        <v>1070</v>
      </c>
      <c r="AD269" s="990" t="s">
        <v>1071</v>
      </c>
      <c r="AE269" s="989"/>
      <c r="AF269" s="989"/>
      <c r="AG269" s="989"/>
    </row>
    <row r="270" spans="1:33" x14ac:dyDescent="0.25">
      <c r="A270" s="991" t="s">
        <v>529</v>
      </c>
      <c r="B270" s="992">
        <v>2005</v>
      </c>
      <c r="C270" s="991"/>
      <c r="D270" s="991"/>
      <c r="E270" s="1002"/>
      <c r="F270" s="252"/>
      <c r="G270" s="252"/>
      <c r="H270" s="252"/>
      <c r="I270" s="252"/>
      <c r="J270" s="252"/>
      <c r="K270" s="252"/>
      <c r="L270" s="252"/>
      <c r="M270" s="252"/>
      <c r="N270" s="252"/>
      <c r="O270" s="252"/>
      <c r="P270" s="252"/>
      <c r="Q270" s="252"/>
      <c r="R270" s="252"/>
      <c r="S270" s="252"/>
      <c r="T270" s="252"/>
      <c r="U270" s="252"/>
      <c r="V270" s="252"/>
      <c r="W270" s="252"/>
      <c r="X270" s="252"/>
      <c r="Y270" s="252"/>
      <c r="Z270" s="252"/>
      <c r="AA270" s="252"/>
      <c r="AB270" s="252"/>
      <c r="AC270" s="252"/>
      <c r="AD270" s="252"/>
      <c r="AE270" s="1003"/>
      <c r="AF270" s="1003"/>
      <c r="AG270" s="1003"/>
    </row>
    <row r="271" spans="1:33" x14ac:dyDescent="0.25">
      <c r="A271" s="991" t="s">
        <v>530</v>
      </c>
      <c r="B271" s="992" t="s">
        <v>514</v>
      </c>
      <c r="C271" s="991"/>
      <c r="D271" s="991"/>
      <c r="E271" s="1002"/>
      <c r="F271" s="243"/>
      <c r="G271" s="252"/>
      <c r="H271" s="252"/>
      <c r="I271" s="252"/>
      <c r="J271" s="252"/>
      <c r="K271" s="252"/>
      <c r="L271" s="252"/>
      <c r="M271" s="252"/>
      <c r="N271" s="252"/>
      <c r="O271" s="252"/>
      <c r="P271" s="252"/>
      <c r="Q271" s="252"/>
      <c r="R271" s="252"/>
      <c r="S271" s="252"/>
      <c r="T271" s="252"/>
      <c r="U271" s="252"/>
      <c r="V271" s="252"/>
      <c r="W271" s="252"/>
      <c r="X271" s="252"/>
      <c r="Y271" s="252"/>
      <c r="Z271" s="252"/>
      <c r="AA271" s="252"/>
      <c r="AB271" s="252"/>
      <c r="AC271" s="252"/>
      <c r="AD271" s="252"/>
      <c r="AE271" s="1003"/>
      <c r="AF271" s="1003"/>
      <c r="AG271" s="1003"/>
    </row>
    <row r="272" spans="1:33" x14ac:dyDescent="0.25">
      <c r="A272" s="991" t="s">
        <v>530</v>
      </c>
      <c r="B272" s="992" t="s">
        <v>515</v>
      </c>
      <c r="C272" s="991"/>
      <c r="D272" s="991"/>
      <c r="E272" s="1002"/>
      <c r="F272" s="253"/>
      <c r="G272" s="243"/>
      <c r="H272" s="252"/>
      <c r="I272" s="252"/>
      <c r="J272" s="252"/>
      <c r="K272" s="252"/>
      <c r="L272" s="252"/>
      <c r="M272" s="252"/>
      <c r="N272" s="252"/>
      <c r="O272" s="252"/>
      <c r="P272" s="252"/>
      <c r="Q272" s="252"/>
      <c r="R272" s="252"/>
      <c r="S272" s="252"/>
      <c r="T272" s="252"/>
      <c r="U272" s="252"/>
      <c r="V272" s="252"/>
      <c r="W272" s="252"/>
      <c r="X272" s="252"/>
      <c r="Y272" s="252"/>
      <c r="Z272" s="252"/>
      <c r="AA272" s="252"/>
      <c r="AB272" s="252"/>
      <c r="AC272" s="252"/>
      <c r="AD272" s="252"/>
      <c r="AE272" s="1003"/>
      <c r="AF272" s="1003"/>
      <c r="AG272" s="1003"/>
    </row>
    <row r="273" spans="1:33" x14ac:dyDescent="0.25">
      <c r="A273" s="991" t="s">
        <v>530</v>
      </c>
      <c r="B273" s="992" t="s">
        <v>516</v>
      </c>
      <c r="C273" s="991"/>
      <c r="D273" s="991"/>
      <c r="E273" s="1002"/>
      <c r="F273" s="253"/>
      <c r="G273" s="253"/>
      <c r="H273" s="243"/>
      <c r="I273" s="252"/>
      <c r="J273" s="252"/>
      <c r="K273" s="252"/>
      <c r="L273" s="252"/>
      <c r="M273" s="252"/>
      <c r="N273" s="252"/>
      <c r="O273" s="252"/>
      <c r="P273" s="252"/>
      <c r="Q273" s="252"/>
      <c r="R273" s="252"/>
      <c r="S273" s="252"/>
      <c r="T273" s="252"/>
      <c r="U273" s="252"/>
      <c r="V273" s="252"/>
      <c r="W273" s="252"/>
      <c r="X273" s="252"/>
      <c r="Y273" s="252"/>
      <c r="Z273" s="252"/>
      <c r="AA273" s="252"/>
      <c r="AB273" s="252"/>
      <c r="AC273" s="252"/>
      <c r="AD273" s="252"/>
      <c r="AE273" s="1003"/>
      <c r="AF273" s="1003"/>
      <c r="AG273" s="1003"/>
    </row>
    <row r="274" spans="1:33" x14ac:dyDescent="0.25">
      <c r="A274" s="991" t="s">
        <v>530</v>
      </c>
      <c r="B274" s="992" t="s">
        <v>517</v>
      </c>
      <c r="C274" s="991"/>
      <c r="D274" s="991"/>
      <c r="E274" s="1002"/>
      <c r="F274" s="253"/>
      <c r="G274" s="253"/>
      <c r="H274" s="253"/>
      <c r="I274" s="243"/>
      <c r="J274" s="252"/>
      <c r="K274" s="252"/>
      <c r="L274" s="252"/>
      <c r="M274" s="252"/>
      <c r="N274" s="252"/>
      <c r="O274" s="252"/>
      <c r="P274" s="252"/>
      <c r="Q274" s="252"/>
      <c r="R274" s="252"/>
      <c r="S274" s="252"/>
      <c r="T274" s="252"/>
      <c r="U274" s="252"/>
      <c r="V274" s="252"/>
      <c r="W274" s="252"/>
      <c r="X274" s="252"/>
      <c r="Y274" s="252"/>
      <c r="Z274" s="252"/>
      <c r="AA274" s="252"/>
      <c r="AB274" s="252"/>
      <c r="AC274" s="252"/>
      <c r="AD274" s="252"/>
      <c r="AE274" s="1003"/>
      <c r="AF274" s="1003"/>
      <c r="AG274" s="1003"/>
    </row>
    <row r="275" spans="1:33" x14ac:dyDescent="0.25">
      <c r="A275" s="991" t="s">
        <v>530</v>
      </c>
      <c r="B275" s="992" t="s">
        <v>518</v>
      </c>
      <c r="C275" s="991"/>
      <c r="D275" s="991"/>
      <c r="E275" s="1002"/>
      <c r="F275" s="253"/>
      <c r="G275" s="253"/>
      <c r="H275" s="253"/>
      <c r="I275" s="253"/>
      <c r="J275" s="243"/>
      <c r="K275" s="252"/>
      <c r="L275" s="252"/>
      <c r="M275" s="252"/>
      <c r="N275" s="252"/>
      <c r="O275" s="252"/>
      <c r="P275" s="252"/>
      <c r="Q275" s="252"/>
      <c r="R275" s="252"/>
      <c r="S275" s="252"/>
      <c r="T275" s="252"/>
      <c r="U275" s="252"/>
      <c r="V275" s="252"/>
      <c r="W275" s="252"/>
      <c r="X275" s="252"/>
      <c r="Y275" s="252"/>
      <c r="Z275" s="252"/>
      <c r="AA275" s="252"/>
      <c r="AB275" s="252"/>
      <c r="AC275" s="252"/>
      <c r="AD275" s="252"/>
      <c r="AE275" s="1003"/>
      <c r="AF275" s="1003"/>
      <c r="AG275" s="1003"/>
    </row>
    <row r="276" spans="1:33" x14ac:dyDescent="0.25">
      <c r="A276" s="991" t="s">
        <v>530</v>
      </c>
      <c r="B276" s="992" t="s">
        <v>519</v>
      </c>
      <c r="C276" s="991"/>
      <c r="D276" s="991"/>
      <c r="E276" s="1002"/>
      <c r="F276" s="253"/>
      <c r="G276" s="253"/>
      <c r="H276" s="253"/>
      <c r="I276" s="253"/>
      <c r="J276" s="253"/>
      <c r="K276" s="243"/>
      <c r="L276" s="252"/>
      <c r="M276" s="252"/>
      <c r="N276" s="252"/>
      <c r="O276" s="252"/>
      <c r="P276" s="252"/>
      <c r="Q276" s="252"/>
      <c r="R276" s="252"/>
      <c r="S276" s="252"/>
      <c r="T276" s="252"/>
      <c r="U276" s="252"/>
      <c r="V276" s="252"/>
      <c r="W276" s="252"/>
      <c r="X276" s="252"/>
      <c r="Y276" s="252"/>
      <c r="Z276" s="252"/>
      <c r="AA276" s="252"/>
      <c r="AB276" s="252"/>
      <c r="AC276" s="252"/>
      <c r="AD276" s="252"/>
      <c r="AE276" s="1003"/>
      <c r="AF276" s="1003"/>
      <c r="AG276" s="1003"/>
    </row>
    <row r="277" spans="1:33" x14ac:dyDescent="0.25">
      <c r="A277" s="991" t="s">
        <v>530</v>
      </c>
      <c r="B277" s="992" t="s">
        <v>520</v>
      </c>
      <c r="C277" s="991"/>
      <c r="D277" s="991"/>
      <c r="E277" s="1002"/>
      <c r="F277" s="253"/>
      <c r="G277" s="253"/>
      <c r="H277" s="253"/>
      <c r="I277" s="253"/>
      <c r="J277" s="253"/>
      <c r="K277" s="253"/>
      <c r="L277" s="243"/>
      <c r="M277" s="252"/>
      <c r="N277" s="252"/>
      <c r="O277" s="252"/>
      <c r="P277" s="252"/>
      <c r="Q277" s="252"/>
      <c r="R277" s="252"/>
      <c r="S277" s="252"/>
      <c r="T277" s="252"/>
      <c r="U277" s="252"/>
      <c r="V277" s="252"/>
      <c r="W277" s="252"/>
      <c r="X277" s="252"/>
      <c r="Y277" s="252"/>
      <c r="Z277" s="252"/>
      <c r="AA277" s="252"/>
      <c r="AB277" s="252"/>
      <c r="AC277" s="252"/>
      <c r="AD277" s="252"/>
      <c r="AE277" s="1003"/>
      <c r="AF277" s="1003"/>
      <c r="AG277" s="1003"/>
    </row>
    <row r="278" spans="1:33" x14ac:dyDescent="0.25">
      <c r="A278" s="991" t="s">
        <v>530</v>
      </c>
      <c r="B278" s="992" t="s">
        <v>521</v>
      </c>
      <c r="C278" s="991"/>
      <c r="D278" s="991"/>
      <c r="E278" s="1002"/>
      <c r="F278" s="253"/>
      <c r="G278" s="253"/>
      <c r="H278" s="253"/>
      <c r="I278" s="253"/>
      <c r="J278" s="253"/>
      <c r="K278" s="253"/>
      <c r="L278" s="253"/>
      <c r="M278" s="243"/>
      <c r="N278" s="252"/>
      <c r="O278" s="252"/>
      <c r="P278" s="252"/>
      <c r="Q278" s="252"/>
      <c r="R278" s="252"/>
      <c r="S278" s="252"/>
      <c r="T278" s="252"/>
      <c r="U278" s="252"/>
      <c r="V278" s="252"/>
      <c r="W278" s="252"/>
      <c r="X278" s="252"/>
      <c r="Y278" s="252"/>
      <c r="Z278" s="252"/>
      <c r="AA278" s="252"/>
      <c r="AB278" s="252"/>
      <c r="AC278" s="252"/>
      <c r="AD278" s="252"/>
      <c r="AE278" s="1003"/>
      <c r="AF278" s="1003"/>
      <c r="AG278" s="1003"/>
    </row>
    <row r="279" spans="1:33" x14ac:dyDescent="0.25">
      <c r="A279" s="991" t="s">
        <v>530</v>
      </c>
      <c r="B279" s="992" t="s">
        <v>522</v>
      </c>
      <c r="C279" s="991"/>
      <c r="D279" s="991"/>
      <c r="E279" s="1002"/>
      <c r="F279" s="253"/>
      <c r="G279" s="253"/>
      <c r="H279" s="253"/>
      <c r="I279" s="253"/>
      <c r="J279" s="253"/>
      <c r="K279" s="253"/>
      <c r="L279" s="253"/>
      <c r="M279" s="253"/>
      <c r="N279" s="243"/>
      <c r="O279" s="252"/>
      <c r="P279" s="252"/>
      <c r="Q279" s="252"/>
      <c r="R279" s="252"/>
      <c r="S279" s="252"/>
      <c r="T279" s="252"/>
      <c r="U279" s="252"/>
      <c r="V279" s="252"/>
      <c r="W279" s="252"/>
      <c r="X279" s="252"/>
      <c r="Y279" s="252"/>
      <c r="Z279" s="252"/>
      <c r="AA279" s="252"/>
      <c r="AB279" s="252"/>
      <c r="AC279" s="252"/>
      <c r="AD279" s="252"/>
      <c r="AE279" s="1003"/>
      <c r="AF279" s="1003"/>
      <c r="AG279" s="1003"/>
    </row>
    <row r="280" spans="1:33" x14ac:dyDescent="0.25">
      <c r="A280" s="991" t="s">
        <v>530</v>
      </c>
      <c r="B280" s="992" t="s">
        <v>523</v>
      </c>
      <c r="C280" s="241"/>
      <c r="D280" s="991"/>
      <c r="E280" s="1002"/>
      <c r="F280" s="253"/>
      <c r="G280" s="253"/>
      <c r="H280" s="253"/>
      <c r="I280" s="253"/>
      <c r="J280" s="253"/>
      <c r="K280" s="253"/>
      <c r="L280" s="253"/>
      <c r="M280" s="253"/>
      <c r="N280" s="253"/>
      <c r="O280" s="243"/>
      <c r="P280" s="252"/>
      <c r="Q280" s="252"/>
      <c r="R280" s="252"/>
      <c r="S280" s="252"/>
      <c r="T280" s="252"/>
      <c r="U280" s="252"/>
      <c r="V280" s="252"/>
      <c r="W280" s="252"/>
      <c r="X280" s="252"/>
      <c r="Y280" s="252"/>
      <c r="Z280" s="252"/>
      <c r="AA280" s="252"/>
      <c r="AB280" s="252"/>
      <c r="AC280" s="252"/>
      <c r="AD280" s="252"/>
      <c r="AE280" s="1003"/>
      <c r="AF280" s="1003"/>
      <c r="AG280" s="1003"/>
    </row>
    <row r="281" spans="1:33" x14ac:dyDescent="0.25">
      <c r="A281" s="991" t="s">
        <v>530</v>
      </c>
      <c r="B281" s="992" t="s">
        <v>524</v>
      </c>
      <c r="C281" s="241"/>
      <c r="D281" s="991"/>
      <c r="E281" s="1002"/>
      <c r="F281" s="253"/>
      <c r="G281" s="253"/>
      <c r="H281" s="253"/>
      <c r="I281" s="253"/>
      <c r="J281" s="253"/>
      <c r="K281" s="253"/>
      <c r="L281" s="253"/>
      <c r="M281" s="253"/>
      <c r="N281" s="253"/>
      <c r="O281" s="253"/>
      <c r="P281" s="243"/>
      <c r="Q281" s="252"/>
      <c r="R281" s="252"/>
      <c r="S281" s="252"/>
      <c r="T281" s="252"/>
      <c r="U281" s="252"/>
      <c r="V281" s="252"/>
      <c r="W281" s="252"/>
      <c r="X281" s="252"/>
      <c r="Y281" s="252"/>
      <c r="Z281" s="252"/>
      <c r="AA281" s="252"/>
      <c r="AB281" s="252"/>
      <c r="AC281" s="252"/>
      <c r="AD281" s="252"/>
      <c r="AE281" s="1003"/>
      <c r="AF281" s="1003"/>
      <c r="AG281" s="1003"/>
    </row>
    <row r="282" spans="1:33" x14ac:dyDescent="0.25">
      <c r="A282" s="991" t="s">
        <v>530</v>
      </c>
      <c r="B282" s="992" t="s">
        <v>525</v>
      </c>
      <c r="C282" s="241"/>
      <c r="D282" s="241"/>
      <c r="E282" s="1002"/>
      <c r="F282" s="253"/>
      <c r="G282" s="253"/>
      <c r="H282" s="253"/>
      <c r="I282" s="253"/>
      <c r="J282" s="253"/>
      <c r="K282" s="253"/>
      <c r="L282" s="253"/>
      <c r="M282" s="253"/>
      <c r="N282" s="253"/>
      <c r="O282" s="253"/>
      <c r="P282" s="253"/>
      <c r="Q282" s="243"/>
      <c r="R282" s="252"/>
      <c r="S282" s="252"/>
      <c r="T282" s="252"/>
      <c r="U282" s="252"/>
      <c r="V282" s="252"/>
      <c r="W282" s="252"/>
      <c r="X282" s="252"/>
      <c r="Y282" s="252"/>
      <c r="Z282" s="252"/>
      <c r="AA282" s="252"/>
      <c r="AB282" s="252"/>
      <c r="AC282" s="252"/>
      <c r="AD282" s="252"/>
      <c r="AE282" s="1003"/>
      <c r="AF282" s="1003"/>
      <c r="AG282" s="1003"/>
    </row>
    <row r="283" spans="1:33" x14ac:dyDescent="0.25">
      <c r="A283" s="991" t="s">
        <v>530</v>
      </c>
      <c r="B283" s="992" t="s">
        <v>526</v>
      </c>
      <c r="C283" s="241"/>
      <c r="D283" s="241"/>
      <c r="E283" s="1002"/>
      <c r="F283" s="253"/>
      <c r="G283" s="253"/>
      <c r="H283" s="253"/>
      <c r="I283" s="253"/>
      <c r="J283" s="253"/>
      <c r="K283" s="253"/>
      <c r="L283" s="253"/>
      <c r="M283" s="253"/>
      <c r="N283" s="253"/>
      <c r="O283" s="253"/>
      <c r="P283" s="253"/>
      <c r="Q283" s="253"/>
      <c r="R283" s="243"/>
      <c r="S283" s="252"/>
      <c r="T283" s="252"/>
      <c r="U283" s="252"/>
      <c r="V283" s="252"/>
      <c r="W283" s="252"/>
      <c r="X283" s="252"/>
      <c r="Y283" s="252"/>
      <c r="Z283" s="252"/>
      <c r="AA283" s="252"/>
      <c r="AB283" s="252"/>
      <c r="AC283" s="252"/>
      <c r="AD283" s="252"/>
      <c r="AE283" s="1003"/>
      <c r="AF283" s="1003"/>
      <c r="AG283" s="1003"/>
    </row>
    <row r="284" spans="1:33" x14ac:dyDescent="0.25">
      <c r="A284" s="991" t="s">
        <v>530</v>
      </c>
      <c r="B284" s="992" t="s">
        <v>527</v>
      </c>
      <c r="C284" s="241"/>
      <c r="D284" s="241"/>
      <c r="E284" s="1002"/>
      <c r="F284" s="253"/>
      <c r="G284" s="253"/>
      <c r="H284" s="253"/>
      <c r="I284" s="253"/>
      <c r="J284" s="253"/>
      <c r="K284" s="253"/>
      <c r="L284" s="253"/>
      <c r="M284" s="253"/>
      <c r="N284" s="253"/>
      <c r="O284" s="253"/>
      <c r="P284" s="253"/>
      <c r="Q284" s="253"/>
      <c r="R284" s="253"/>
      <c r="S284" s="243"/>
      <c r="T284" s="252"/>
      <c r="U284" s="252"/>
      <c r="V284" s="252"/>
      <c r="W284" s="252"/>
      <c r="X284" s="252"/>
      <c r="Y284" s="252"/>
      <c r="Z284" s="252"/>
      <c r="AA284" s="252"/>
      <c r="AB284" s="252"/>
      <c r="AC284" s="252"/>
      <c r="AD284" s="252"/>
      <c r="AE284" s="1003"/>
      <c r="AF284" s="1003"/>
      <c r="AG284" s="1003"/>
    </row>
    <row r="285" spans="1:33" x14ac:dyDescent="0.25">
      <c r="A285" s="991" t="s">
        <v>530</v>
      </c>
      <c r="B285" s="992" t="s">
        <v>531</v>
      </c>
      <c r="C285" s="241"/>
      <c r="D285" s="241"/>
      <c r="E285" s="1005"/>
      <c r="F285" s="253"/>
      <c r="G285" s="253"/>
      <c r="H285" s="253"/>
      <c r="I285" s="253"/>
      <c r="J285" s="253"/>
      <c r="K285" s="253"/>
      <c r="L285" s="253"/>
      <c r="M285" s="253"/>
      <c r="N285" s="253"/>
      <c r="O285" s="253"/>
      <c r="P285" s="253"/>
      <c r="Q285" s="253"/>
      <c r="R285" s="253"/>
      <c r="S285" s="253"/>
      <c r="T285" s="243"/>
      <c r="U285" s="252"/>
      <c r="V285" s="252"/>
      <c r="W285" s="252"/>
      <c r="X285" s="252"/>
      <c r="Y285" s="252"/>
      <c r="Z285" s="252"/>
      <c r="AA285" s="252"/>
      <c r="AB285" s="252"/>
      <c r="AC285" s="252"/>
      <c r="AD285" s="252"/>
      <c r="AE285" s="1003"/>
      <c r="AF285" s="1003"/>
      <c r="AG285" s="1003"/>
    </row>
    <row r="286" spans="1:33" x14ac:dyDescent="0.25">
      <c r="A286" s="991" t="s">
        <v>530</v>
      </c>
      <c r="B286" s="992" t="s">
        <v>532</v>
      </c>
      <c r="C286" s="241"/>
      <c r="D286" s="241"/>
      <c r="E286" s="1005"/>
      <c r="F286" s="253"/>
      <c r="G286" s="253"/>
      <c r="H286" s="253"/>
      <c r="I286" s="253"/>
      <c r="J286" s="253"/>
      <c r="K286" s="253"/>
      <c r="L286" s="253"/>
      <c r="M286" s="253"/>
      <c r="N286" s="253"/>
      <c r="O286" s="253"/>
      <c r="P286" s="253"/>
      <c r="Q286" s="253"/>
      <c r="R286" s="253"/>
      <c r="S286" s="253"/>
      <c r="T286" s="253"/>
      <c r="U286" s="243"/>
      <c r="V286" s="252"/>
      <c r="W286" s="252"/>
      <c r="X286" s="252"/>
      <c r="Y286" s="252"/>
      <c r="Z286" s="252"/>
      <c r="AA286" s="252"/>
      <c r="AB286" s="252"/>
      <c r="AC286" s="252"/>
      <c r="AD286" s="252"/>
      <c r="AE286" s="1003"/>
      <c r="AF286" s="1003"/>
      <c r="AG286" s="1003"/>
    </row>
    <row r="287" spans="1:33" x14ac:dyDescent="0.25">
      <c r="A287" s="991" t="s">
        <v>530</v>
      </c>
      <c r="B287" s="992" t="s">
        <v>533</v>
      </c>
      <c r="C287" s="241"/>
      <c r="D287" s="241"/>
      <c r="E287" s="1005"/>
      <c r="F287" s="253"/>
      <c r="G287" s="253"/>
      <c r="H287" s="253"/>
      <c r="I287" s="253"/>
      <c r="J287" s="253"/>
      <c r="K287" s="253"/>
      <c r="L287" s="253"/>
      <c r="M287" s="253"/>
      <c r="N287" s="253"/>
      <c r="O287" s="253"/>
      <c r="P287" s="253"/>
      <c r="Q287" s="253"/>
      <c r="R287" s="253"/>
      <c r="S287" s="253"/>
      <c r="T287" s="253"/>
      <c r="U287" s="253"/>
      <c r="V287" s="243"/>
      <c r="W287" s="252"/>
      <c r="X287" s="252"/>
      <c r="Y287" s="252"/>
      <c r="Z287" s="252"/>
      <c r="AA287" s="252"/>
      <c r="AB287" s="252"/>
      <c r="AC287" s="252"/>
      <c r="AD287" s="252"/>
      <c r="AE287" s="1003"/>
      <c r="AF287" s="1003"/>
      <c r="AG287" s="1003"/>
    </row>
    <row r="288" spans="1:33" x14ac:dyDescent="0.25">
      <c r="A288" s="991" t="s">
        <v>530</v>
      </c>
      <c r="B288" s="992" t="s">
        <v>543</v>
      </c>
      <c r="C288" s="241"/>
      <c r="D288" s="241"/>
      <c r="E288" s="1005"/>
      <c r="F288" s="253"/>
      <c r="G288" s="253"/>
      <c r="H288" s="253"/>
      <c r="I288" s="253"/>
      <c r="J288" s="253"/>
      <c r="K288" s="253"/>
      <c r="L288" s="253"/>
      <c r="M288" s="253"/>
      <c r="N288" s="253"/>
      <c r="O288" s="253"/>
      <c r="P288" s="253"/>
      <c r="Q288" s="253"/>
      <c r="R288" s="253"/>
      <c r="S288" s="253"/>
      <c r="T288" s="253"/>
      <c r="U288" s="253"/>
      <c r="V288" s="253"/>
      <c r="W288" s="243"/>
      <c r="X288" s="252"/>
      <c r="Y288" s="252"/>
      <c r="Z288" s="252"/>
      <c r="AA288" s="252"/>
      <c r="AB288" s="252"/>
      <c r="AC288" s="252"/>
      <c r="AD288" s="252"/>
      <c r="AE288" s="1003"/>
      <c r="AF288" s="1003"/>
      <c r="AG288" s="1003"/>
    </row>
    <row r="289" spans="1:33" x14ac:dyDescent="0.25">
      <c r="A289" s="991" t="s">
        <v>530</v>
      </c>
      <c r="B289" s="992" t="s">
        <v>544</v>
      </c>
      <c r="C289" s="241"/>
      <c r="D289" s="241"/>
      <c r="E289" s="1005"/>
      <c r="F289" s="253"/>
      <c r="G289" s="253"/>
      <c r="H289" s="253"/>
      <c r="I289" s="253"/>
      <c r="J289" s="253"/>
      <c r="K289" s="253"/>
      <c r="L289" s="253"/>
      <c r="M289" s="253"/>
      <c r="N289" s="253"/>
      <c r="O289" s="253"/>
      <c r="P289" s="253"/>
      <c r="Q289" s="253"/>
      <c r="R289" s="253"/>
      <c r="S289" s="253"/>
      <c r="T289" s="253"/>
      <c r="U289" s="253"/>
      <c r="V289" s="253"/>
      <c r="W289" s="253"/>
      <c r="X289" s="243"/>
      <c r="Y289" s="252"/>
      <c r="Z289" s="252"/>
      <c r="AA289" s="252"/>
      <c r="AB289" s="252"/>
      <c r="AC289" s="252"/>
      <c r="AD289" s="252"/>
      <c r="AE289" s="1003"/>
      <c r="AF289" s="1003"/>
      <c r="AG289" s="1003"/>
    </row>
    <row r="290" spans="1:33" x14ac:dyDescent="0.25">
      <c r="A290" s="991" t="s">
        <v>530</v>
      </c>
      <c r="B290" s="992" t="s">
        <v>545</v>
      </c>
      <c r="C290" s="241"/>
      <c r="D290" s="241"/>
      <c r="E290" s="1005"/>
      <c r="F290" s="253"/>
      <c r="G290" s="253"/>
      <c r="H290" s="253"/>
      <c r="I290" s="253"/>
      <c r="J290" s="253"/>
      <c r="K290" s="253"/>
      <c r="L290" s="253"/>
      <c r="M290" s="253"/>
      <c r="N290" s="253"/>
      <c r="O290" s="253"/>
      <c r="P290" s="253"/>
      <c r="Q290" s="253"/>
      <c r="R290" s="253"/>
      <c r="S290" s="253"/>
      <c r="T290" s="253"/>
      <c r="U290" s="253"/>
      <c r="V290" s="253"/>
      <c r="W290" s="253"/>
      <c r="X290" s="253"/>
      <c r="Y290" s="243"/>
      <c r="Z290" s="1003"/>
      <c r="AA290" s="1003"/>
      <c r="AB290" s="1003"/>
      <c r="AC290" s="1003"/>
      <c r="AD290" s="1003"/>
      <c r="AE290" s="1003"/>
      <c r="AF290" s="1003"/>
      <c r="AG290" s="1003"/>
    </row>
    <row r="291" spans="1:33" x14ac:dyDescent="0.25">
      <c r="A291" s="991" t="s">
        <v>530</v>
      </c>
      <c r="B291" s="992" t="s">
        <v>1532</v>
      </c>
      <c r="C291" s="241"/>
      <c r="D291" s="241"/>
      <c r="E291" s="1005"/>
      <c r="F291" s="253"/>
      <c r="G291" s="253"/>
      <c r="H291" s="253"/>
      <c r="I291" s="253"/>
      <c r="J291" s="253"/>
      <c r="K291" s="253"/>
      <c r="L291" s="253"/>
      <c r="M291" s="253"/>
      <c r="N291" s="253"/>
      <c r="O291" s="253"/>
      <c r="P291" s="253"/>
      <c r="Q291" s="253"/>
      <c r="R291" s="253"/>
      <c r="S291" s="253"/>
      <c r="T291" s="253"/>
      <c r="U291" s="253"/>
      <c r="V291" s="253"/>
      <c r="W291" s="253"/>
      <c r="X291" s="253"/>
      <c r="Y291" s="253"/>
      <c r="Z291" s="243"/>
      <c r="AA291" s="252"/>
      <c r="AB291" s="252"/>
      <c r="AC291" s="252"/>
      <c r="AD291" s="252"/>
      <c r="AE291" s="241"/>
      <c r="AF291" s="241"/>
      <c r="AG291" s="1003"/>
    </row>
    <row r="292" spans="1:33" x14ac:dyDescent="0.25">
      <c r="A292" s="991" t="s">
        <v>530</v>
      </c>
      <c r="B292" s="992" t="s">
        <v>1533</v>
      </c>
      <c r="C292" s="241"/>
      <c r="D292" s="241"/>
      <c r="E292" s="1005"/>
      <c r="F292" s="253"/>
      <c r="G292" s="253"/>
      <c r="H292" s="253"/>
      <c r="I292" s="253"/>
      <c r="J292" s="253"/>
      <c r="K292" s="253"/>
      <c r="L292" s="253"/>
      <c r="M292" s="253"/>
      <c r="N292" s="253"/>
      <c r="O292" s="253"/>
      <c r="P292" s="253"/>
      <c r="Q292" s="253"/>
      <c r="R292" s="253"/>
      <c r="S292" s="253"/>
      <c r="T292" s="253"/>
      <c r="U292" s="253"/>
      <c r="V292" s="253"/>
      <c r="W292" s="253"/>
      <c r="X292" s="253"/>
      <c r="Y292" s="253"/>
      <c r="Z292" s="253"/>
      <c r="AA292" s="243"/>
      <c r="AB292" s="252"/>
      <c r="AC292" s="252"/>
      <c r="AD292" s="252"/>
      <c r="AE292" s="241"/>
      <c r="AF292" s="241"/>
      <c r="AG292" s="1003"/>
    </row>
    <row r="293" spans="1:33" x14ac:dyDescent="0.25">
      <c r="A293" s="991" t="s">
        <v>530</v>
      </c>
      <c r="B293" s="992" t="s">
        <v>1534</v>
      </c>
      <c r="C293" s="241"/>
      <c r="D293" s="241"/>
      <c r="E293" s="1005"/>
      <c r="F293" s="253"/>
      <c r="G293" s="253"/>
      <c r="H293" s="253"/>
      <c r="I293" s="253"/>
      <c r="J293" s="253"/>
      <c r="K293" s="253"/>
      <c r="L293" s="253"/>
      <c r="M293" s="253"/>
      <c r="N293" s="253"/>
      <c r="O293" s="253"/>
      <c r="P293" s="253"/>
      <c r="Q293" s="253"/>
      <c r="R293" s="253"/>
      <c r="S293" s="253"/>
      <c r="T293" s="253"/>
      <c r="U293" s="253"/>
      <c r="V293" s="253"/>
      <c r="W293" s="253"/>
      <c r="X293" s="253"/>
      <c r="Y293" s="253"/>
      <c r="Z293" s="253"/>
      <c r="AA293" s="253"/>
      <c r="AB293" s="243"/>
      <c r="AC293" s="252"/>
      <c r="AD293" s="252"/>
      <c r="AE293" s="241"/>
      <c r="AF293" s="241"/>
      <c r="AG293" s="1003"/>
    </row>
    <row r="294" spans="1:33" x14ac:dyDescent="0.25">
      <c r="A294" s="991" t="s">
        <v>530</v>
      </c>
      <c r="B294" s="992" t="s">
        <v>1535</v>
      </c>
      <c r="C294" s="241"/>
      <c r="D294" s="241"/>
      <c r="E294" s="1005"/>
      <c r="F294" s="253"/>
      <c r="G294" s="253"/>
      <c r="H294" s="253"/>
      <c r="I294" s="253"/>
      <c r="J294" s="253"/>
      <c r="K294" s="253"/>
      <c r="L294" s="253"/>
      <c r="M294" s="253"/>
      <c r="N294" s="253"/>
      <c r="O294" s="253"/>
      <c r="P294" s="253"/>
      <c r="Q294" s="253"/>
      <c r="R294" s="253"/>
      <c r="S294" s="253"/>
      <c r="T294" s="253"/>
      <c r="U294" s="253"/>
      <c r="V294" s="253"/>
      <c r="W294" s="253"/>
      <c r="X294" s="253"/>
      <c r="Y294" s="253"/>
      <c r="Z294" s="253"/>
      <c r="AA294" s="253"/>
      <c r="AB294" s="253"/>
      <c r="AC294" s="243"/>
      <c r="AD294" s="252"/>
      <c r="AE294" s="241"/>
      <c r="AF294" s="241"/>
      <c r="AG294" s="1003"/>
    </row>
    <row r="295" spans="1:33" x14ac:dyDescent="0.25">
      <c r="A295" s="991" t="s">
        <v>530</v>
      </c>
      <c r="B295" s="992" t="s">
        <v>1536</v>
      </c>
      <c r="C295" s="241"/>
      <c r="D295" s="241"/>
      <c r="E295" s="1005"/>
      <c r="F295" s="253"/>
      <c r="G295" s="253"/>
      <c r="H295" s="253"/>
      <c r="I295" s="253"/>
      <c r="J295" s="253"/>
      <c r="K295" s="253"/>
      <c r="L295" s="253"/>
      <c r="M295" s="253"/>
      <c r="N295" s="253"/>
      <c r="O295" s="253"/>
      <c r="P295" s="253"/>
      <c r="Q295" s="253"/>
      <c r="R295" s="253"/>
      <c r="S295" s="253"/>
      <c r="T295" s="253"/>
      <c r="U295" s="253"/>
      <c r="V295" s="253"/>
      <c r="W295" s="253"/>
      <c r="X295" s="253"/>
      <c r="Y295" s="253"/>
      <c r="Z295" s="253"/>
      <c r="AA295" s="253"/>
      <c r="AB295" s="253"/>
      <c r="AC295" s="253"/>
      <c r="AD295" s="243"/>
      <c r="AE295" s="241"/>
      <c r="AF295" s="241"/>
      <c r="AG295" s="1003"/>
    </row>
    <row r="296" spans="1:33" ht="13" x14ac:dyDescent="0.3">
      <c r="A296" s="995"/>
      <c r="B296" s="996" t="s">
        <v>271</v>
      </c>
      <c r="C296" s="242"/>
      <c r="D296" s="242"/>
      <c r="E296" s="242"/>
      <c r="F296" s="242"/>
      <c r="G296" s="242"/>
      <c r="H296" s="242"/>
      <c r="I296" s="242"/>
      <c r="J296" s="242"/>
      <c r="K296" s="242"/>
      <c r="L296" s="242"/>
      <c r="M296" s="242"/>
      <c r="N296" s="242"/>
      <c r="O296" s="242"/>
      <c r="P296" s="242"/>
      <c r="Q296" s="242"/>
      <c r="R296" s="242"/>
      <c r="S296" s="242"/>
      <c r="T296" s="242"/>
      <c r="U296" s="242"/>
      <c r="V296" s="242"/>
      <c r="W296" s="242"/>
      <c r="X296" s="242"/>
      <c r="Y296" s="242"/>
      <c r="Z296" s="242"/>
      <c r="AA296" s="242"/>
      <c r="AB296" s="242"/>
      <c r="AC296" s="242"/>
      <c r="AD296" s="242"/>
      <c r="AE296" s="242"/>
      <c r="AF296" s="242"/>
      <c r="AG296" s="242"/>
    </row>
    <row r="297" spans="1:33" x14ac:dyDescent="0.25">
      <c r="C297" s="1007"/>
    </row>
    <row r="300" spans="1:33" ht="13" x14ac:dyDescent="0.3">
      <c r="B300" s="986" t="s">
        <v>271</v>
      </c>
      <c r="F300" s="987" t="s">
        <v>10</v>
      </c>
    </row>
    <row r="301" spans="1:33" ht="26.15" customHeight="1" x14ac:dyDescent="0.35">
      <c r="A301" s="988"/>
      <c r="B301" s="1001" t="s">
        <v>413</v>
      </c>
      <c r="C301" s="1885" t="s">
        <v>512</v>
      </c>
      <c r="D301" s="1885" t="s">
        <v>513</v>
      </c>
      <c r="E301" s="1885" t="s">
        <v>583</v>
      </c>
      <c r="F301" s="1887" t="s">
        <v>584</v>
      </c>
      <c r="G301" s="1888"/>
      <c r="H301" s="1888"/>
      <c r="I301" s="1888"/>
      <c r="J301" s="1888"/>
      <c r="K301" s="1888"/>
      <c r="L301" s="1888"/>
      <c r="M301" s="1888"/>
      <c r="N301" s="1888"/>
      <c r="O301" s="1888"/>
      <c r="P301" s="1888"/>
      <c r="Q301" s="1888"/>
      <c r="R301" s="1888"/>
      <c r="S301" s="1888"/>
      <c r="T301" s="1888"/>
      <c r="U301" s="1888"/>
      <c r="V301" s="1888"/>
      <c r="W301" s="1888"/>
      <c r="X301" s="1888"/>
      <c r="Y301" s="1888"/>
      <c r="Z301" s="1888"/>
      <c r="AA301" s="1888"/>
      <c r="AB301" s="1888"/>
      <c r="AC301" s="1888"/>
      <c r="AD301" s="1889"/>
      <c r="AE301" s="989" t="s">
        <v>535</v>
      </c>
      <c r="AF301" s="989" t="s">
        <v>528</v>
      </c>
      <c r="AG301" s="989" t="s">
        <v>536</v>
      </c>
    </row>
    <row r="302" spans="1:33" ht="12.9" customHeight="1" x14ac:dyDescent="0.25">
      <c r="A302" s="988"/>
      <c r="B302" s="1001"/>
      <c r="C302" s="1886"/>
      <c r="D302" s="1886"/>
      <c r="E302" s="1886"/>
      <c r="F302" s="990" t="s">
        <v>514</v>
      </c>
      <c r="G302" s="990" t="s">
        <v>515</v>
      </c>
      <c r="H302" s="990" t="s">
        <v>516</v>
      </c>
      <c r="I302" s="990" t="s">
        <v>517</v>
      </c>
      <c r="J302" s="990" t="s">
        <v>518</v>
      </c>
      <c r="K302" s="990" t="s">
        <v>519</v>
      </c>
      <c r="L302" s="990" t="s">
        <v>520</v>
      </c>
      <c r="M302" s="990" t="s">
        <v>521</v>
      </c>
      <c r="N302" s="990" t="s">
        <v>522</v>
      </c>
      <c r="O302" s="990" t="s">
        <v>523</v>
      </c>
      <c r="P302" s="990" t="s">
        <v>524</v>
      </c>
      <c r="Q302" s="990" t="s">
        <v>525</v>
      </c>
      <c r="R302" s="990" t="s">
        <v>526</v>
      </c>
      <c r="S302" s="990" t="s">
        <v>527</v>
      </c>
      <c r="T302" s="990" t="s">
        <v>325</v>
      </c>
      <c r="U302" s="990" t="s">
        <v>503</v>
      </c>
      <c r="V302" s="990" t="s">
        <v>504</v>
      </c>
      <c r="W302" s="990" t="s">
        <v>505</v>
      </c>
      <c r="X302" s="990" t="s">
        <v>506</v>
      </c>
      <c r="Y302" s="990" t="s">
        <v>507</v>
      </c>
      <c r="Z302" s="990" t="s">
        <v>1067</v>
      </c>
      <c r="AA302" s="990" t="s">
        <v>1068</v>
      </c>
      <c r="AB302" s="990" t="s">
        <v>1069</v>
      </c>
      <c r="AC302" s="990" t="s">
        <v>1070</v>
      </c>
      <c r="AD302" s="990" t="s">
        <v>1071</v>
      </c>
      <c r="AE302" s="989"/>
      <c r="AF302" s="989"/>
      <c r="AG302" s="989"/>
    </row>
    <row r="303" spans="1:33" x14ac:dyDescent="0.25">
      <c r="A303" s="991" t="s">
        <v>529</v>
      </c>
      <c r="B303" s="992">
        <v>2005</v>
      </c>
      <c r="C303" s="1010"/>
      <c r="D303" s="1010"/>
      <c r="E303" s="1002"/>
      <c r="F303" s="252"/>
      <c r="G303" s="252"/>
      <c r="H303" s="252"/>
      <c r="I303" s="252"/>
      <c r="J303" s="252"/>
      <c r="K303" s="252"/>
      <c r="L303" s="252"/>
      <c r="M303" s="252"/>
      <c r="N303" s="252"/>
      <c r="O303" s="252"/>
      <c r="P303" s="252"/>
      <c r="Q303" s="252"/>
      <c r="R303" s="252"/>
      <c r="S303" s="252"/>
      <c r="T303" s="252"/>
      <c r="U303" s="252"/>
      <c r="V303" s="252"/>
      <c r="W303" s="252"/>
      <c r="X303" s="252"/>
      <c r="Y303" s="252"/>
      <c r="Z303" s="252"/>
      <c r="AA303" s="252"/>
      <c r="AB303" s="252"/>
      <c r="AC303" s="252"/>
      <c r="AD303" s="252"/>
      <c r="AE303" s="1003"/>
      <c r="AF303" s="1003"/>
      <c r="AG303" s="1003"/>
    </row>
    <row r="304" spans="1:33" x14ac:dyDescent="0.25">
      <c r="A304" s="991" t="s">
        <v>530</v>
      </c>
      <c r="B304" s="992" t="s">
        <v>514</v>
      </c>
      <c r="C304" s="1010"/>
      <c r="D304" s="1010"/>
      <c r="E304" s="1002"/>
      <c r="F304" s="243"/>
      <c r="G304" s="252"/>
      <c r="H304" s="252"/>
      <c r="I304" s="252"/>
      <c r="J304" s="252"/>
      <c r="K304" s="252"/>
      <c r="L304" s="252"/>
      <c r="M304" s="252"/>
      <c r="N304" s="252"/>
      <c r="O304" s="252"/>
      <c r="P304" s="252"/>
      <c r="Q304" s="252"/>
      <c r="R304" s="252"/>
      <c r="S304" s="252"/>
      <c r="T304" s="252"/>
      <c r="U304" s="252"/>
      <c r="V304" s="252"/>
      <c r="W304" s="252"/>
      <c r="X304" s="252"/>
      <c r="Y304" s="252"/>
      <c r="Z304" s="252"/>
      <c r="AA304" s="252"/>
      <c r="AB304" s="252"/>
      <c r="AC304" s="252"/>
      <c r="AD304" s="252"/>
      <c r="AE304" s="1003"/>
      <c r="AF304" s="1003"/>
      <c r="AG304" s="1003"/>
    </row>
    <row r="305" spans="1:33" x14ac:dyDescent="0.25">
      <c r="A305" s="991" t="s">
        <v>530</v>
      </c>
      <c r="B305" s="992" t="s">
        <v>515</v>
      </c>
      <c r="C305" s="1010"/>
      <c r="D305" s="1010"/>
      <c r="E305" s="1002"/>
      <c r="F305" s="253"/>
      <c r="G305" s="243"/>
      <c r="H305" s="252"/>
      <c r="I305" s="252"/>
      <c r="J305" s="252"/>
      <c r="K305" s="252"/>
      <c r="L305" s="252"/>
      <c r="M305" s="252"/>
      <c r="N305" s="252"/>
      <c r="O305" s="252"/>
      <c r="P305" s="252"/>
      <c r="Q305" s="252"/>
      <c r="R305" s="252"/>
      <c r="S305" s="252"/>
      <c r="T305" s="252"/>
      <c r="U305" s="252"/>
      <c r="V305" s="252"/>
      <c r="W305" s="252"/>
      <c r="X305" s="252"/>
      <c r="Y305" s="252"/>
      <c r="Z305" s="252"/>
      <c r="AA305" s="252"/>
      <c r="AB305" s="252"/>
      <c r="AC305" s="252"/>
      <c r="AD305" s="252"/>
      <c r="AE305" s="1003"/>
      <c r="AF305" s="1003"/>
      <c r="AG305" s="1003"/>
    </row>
    <row r="306" spans="1:33" x14ac:dyDescent="0.25">
      <c r="A306" s="991" t="s">
        <v>530</v>
      </c>
      <c r="B306" s="992" t="s">
        <v>516</v>
      </c>
      <c r="C306" s="1010"/>
      <c r="D306" s="1010"/>
      <c r="E306" s="1002"/>
      <c r="F306" s="253"/>
      <c r="G306" s="253"/>
      <c r="H306" s="243"/>
      <c r="I306" s="252"/>
      <c r="J306" s="252"/>
      <c r="K306" s="252"/>
      <c r="L306" s="252"/>
      <c r="M306" s="252"/>
      <c r="N306" s="252"/>
      <c r="O306" s="252"/>
      <c r="P306" s="252"/>
      <c r="Q306" s="252"/>
      <c r="R306" s="252"/>
      <c r="S306" s="252"/>
      <c r="T306" s="252"/>
      <c r="U306" s="252"/>
      <c r="V306" s="252"/>
      <c r="W306" s="252"/>
      <c r="X306" s="252"/>
      <c r="Y306" s="252"/>
      <c r="Z306" s="252"/>
      <c r="AA306" s="252"/>
      <c r="AB306" s="252"/>
      <c r="AC306" s="252"/>
      <c r="AD306" s="252"/>
      <c r="AE306" s="1003"/>
      <c r="AF306" s="1003"/>
      <c r="AG306" s="1003"/>
    </row>
    <row r="307" spans="1:33" x14ac:dyDescent="0.25">
      <c r="A307" s="991" t="s">
        <v>530</v>
      </c>
      <c r="B307" s="992" t="s">
        <v>517</v>
      </c>
      <c r="C307" s="1010"/>
      <c r="D307" s="1010"/>
      <c r="E307" s="1002"/>
      <c r="F307" s="253"/>
      <c r="G307" s="253"/>
      <c r="H307" s="253"/>
      <c r="I307" s="243"/>
      <c r="J307" s="252"/>
      <c r="K307" s="252"/>
      <c r="L307" s="252"/>
      <c r="M307" s="252"/>
      <c r="N307" s="252"/>
      <c r="O307" s="252"/>
      <c r="P307" s="252"/>
      <c r="Q307" s="252"/>
      <c r="R307" s="252"/>
      <c r="S307" s="252"/>
      <c r="T307" s="252"/>
      <c r="U307" s="252"/>
      <c r="V307" s="252"/>
      <c r="W307" s="252"/>
      <c r="X307" s="252"/>
      <c r="Y307" s="252"/>
      <c r="Z307" s="252"/>
      <c r="AA307" s="252"/>
      <c r="AB307" s="252"/>
      <c r="AC307" s="252"/>
      <c r="AD307" s="252"/>
      <c r="AE307" s="1003"/>
      <c r="AF307" s="1003"/>
      <c r="AG307" s="1003"/>
    </row>
    <row r="308" spans="1:33" x14ac:dyDescent="0.25">
      <c r="A308" s="991" t="s">
        <v>530</v>
      </c>
      <c r="B308" s="992" t="s">
        <v>518</v>
      </c>
      <c r="C308" s="1010"/>
      <c r="D308" s="1010"/>
      <c r="E308" s="1002"/>
      <c r="F308" s="253"/>
      <c r="G308" s="253"/>
      <c r="H308" s="253"/>
      <c r="I308" s="253"/>
      <c r="J308" s="243"/>
      <c r="K308" s="252"/>
      <c r="L308" s="252"/>
      <c r="M308" s="252"/>
      <c r="N308" s="252"/>
      <c r="O308" s="252"/>
      <c r="P308" s="252"/>
      <c r="Q308" s="252"/>
      <c r="R308" s="252"/>
      <c r="S308" s="252"/>
      <c r="T308" s="252"/>
      <c r="U308" s="252"/>
      <c r="V308" s="252"/>
      <c r="W308" s="252"/>
      <c r="X308" s="252"/>
      <c r="Y308" s="252"/>
      <c r="Z308" s="252"/>
      <c r="AA308" s="252"/>
      <c r="AB308" s="252"/>
      <c r="AC308" s="252"/>
      <c r="AD308" s="252"/>
      <c r="AE308" s="1003"/>
      <c r="AF308" s="1003"/>
      <c r="AG308" s="1003"/>
    </row>
    <row r="309" spans="1:33" x14ac:dyDescent="0.25">
      <c r="A309" s="991" t="s">
        <v>530</v>
      </c>
      <c r="B309" s="992" t="s">
        <v>519</v>
      </c>
      <c r="C309" s="1010"/>
      <c r="D309" s="1010"/>
      <c r="E309" s="1002"/>
      <c r="F309" s="253"/>
      <c r="G309" s="253"/>
      <c r="H309" s="253"/>
      <c r="I309" s="253"/>
      <c r="J309" s="253"/>
      <c r="K309" s="243"/>
      <c r="L309" s="252"/>
      <c r="M309" s="252"/>
      <c r="N309" s="252"/>
      <c r="O309" s="252"/>
      <c r="P309" s="252"/>
      <c r="Q309" s="252"/>
      <c r="R309" s="252"/>
      <c r="S309" s="252"/>
      <c r="T309" s="252"/>
      <c r="U309" s="252"/>
      <c r="V309" s="252"/>
      <c r="W309" s="252"/>
      <c r="X309" s="252"/>
      <c r="Y309" s="252"/>
      <c r="Z309" s="252"/>
      <c r="AA309" s="252"/>
      <c r="AB309" s="252"/>
      <c r="AC309" s="252"/>
      <c r="AD309" s="252"/>
      <c r="AE309" s="1003"/>
      <c r="AF309" s="1003"/>
      <c r="AG309" s="1003"/>
    </row>
    <row r="310" spans="1:33" x14ac:dyDescent="0.25">
      <c r="A310" s="991" t="s">
        <v>530</v>
      </c>
      <c r="B310" s="992" t="s">
        <v>520</v>
      </c>
      <c r="C310" s="1010"/>
      <c r="D310" s="1010"/>
      <c r="E310" s="1002"/>
      <c r="F310" s="253"/>
      <c r="G310" s="253"/>
      <c r="H310" s="253"/>
      <c r="I310" s="253"/>
      <c r="J310" s="253"/>
      <c r="K310" s="253"/>
      <c r="L310" s="243"/>
      <c r="M310" s="252"/>
      <c r="N310" s="252"/>
      <c r="O310" s="252"/>
      <c r="P310" s="252"/>
      <c r="Q310" s="252"/>
      <c r="R310" s="252"/>
      <c r="S310" s="252"/>
      <c r="T310" s="252"/>
      <c r="U310" s="252"/>
      <c r="V310" s="252"/>
      <c r="W310" s="252"/>
      <c r="X310" s="252"/>
      <c r="Y310" s="252"/>
      <c r="Z310" s="252"/>
      <c r="AA310" s="252"/>
      <c r="AB310" s="252"/>
      <c r="AC310" s="252"/>
      <c r="AD310" s="252"/>
      <c r="AE310" s="1003"/>
      <c r="AF310" s="1003"/>
      <c r="AG310" s="1003"/>
    </row>
    <row r="311" spans="1:33" x14ac:dyDescent="0.25">
      <c r="A311" s="991" t="s">
        <v>530</v>
      </c>
      <c r="B311" s="992" t="s">
        <v>521</v>
      </c>
      <c r="C311" s="1010"/>
      <c r="D311" s="1010"/>
      <c r="E311" s="1002"/>
      <c r="F311" s="253"/>
      <c r="G311" s="253"/>
      <c r="H311" s="253"/>
      <c r="I311" s="253"/>
      <c r="J311" s="253"/>
      <c r="K311" s="253"/>
      <c r="L311" s="253"/>
      <c r="M311" s="243"/>
      <c r="N311" s="252"/>
      <c r="O311" s="252"/>
      <c r="P311" s="252"/>
      <c r="Q311" s="252"/>
      <c r="R311" s="252"/>
      <c r="S311" s="252"/>
      <c r="T311" s="252"/>
      <c r="U311" s="252"/>
      <c r="V311" s="252"/>
      <c r="W311" s="252"/>
      <c r="X311" s="252"/>
      <c r="Y311" s="252"/>
      <c r="Z311" s="252"/>
      <c r="AA311" s="252"/>
      <c r="AB311" s="252"/>
      <c r="AC311" s="252"/>
      <c r="AD311" s="252"/>
      <c r="AE311" s="1003"/>
      <c r="AF311" s="1003"/>
      <c r="AG311" s="1003"/>
    </row>
    <row r="312" spans="1:33" x14ac:dyDescent="0.25">
      <c r="A312" s="991" t="s">
        <v>530</v>
      </c>
      <c r="B312" s="992" t="s">
        <v>522</v>
      </c>
      <c r="C312" s="1010"/>
      <c r="D312" s="1010"/>
      <c r="E312" s="1002"/>
      <c r="F312" s="253"/>
      <c r="G312" s="253"/>
      <c r="H312" s="253"/>
      <c r="I312" s="253"/>
      <c r="J312" s="253"/>
      <c r="K312" s="253"/>
      <c r="L312" s="253"/>
      <c r="M312" s="253"/>
      <c r="N312" s="243"/>
      <c r="O312" s="252"/>
      <c r="P312" s="252"/>
      <c r="Q312" s="252"/>
      <c r="R312" s="252"/>
      <c r="S312" s="252"/>
      <c r="T312" s="252"/>
      <c r="U312" s="252"/>
      <c r="V312" s="252"/>
      <c r="W312" s="252"/>
      <c r="X312" s="252"/>
      <c r="Y312" s="252"/>
      <c r="Z312" s="252"/>
      <c r="AA312" s="252"/>
      <c r="AB312" s="252"/>
      <c r="AC312" s="252"/>
      <c r="AD312" s="252"/>
      <c r="AE312" s="1003"/>
      <c r="AF312" s="1003"/>
      <c r="AG312" s="1003"/>
    </row>
    <row r="313" spans="1:33" x14ac:dyDescent="0.25">
      <c r="A313" s="991" t="s">
        <v>530</v>
      </c>
      <c r="B313" s="992" t="s">
        <v>523</v>
      </c>
      <c r="C313" s="1010"/>
      <c r="D313" s="1010"/>
      <c r="E313" s="1002"/>
      <c r="F313" s="253"/>
      <c r="G313" s="253"/>
      <c r="H313" s="253"/>
      <c r="I313" s="253"/>
      <c r="J313" s="253"/>
      <c r="K313" s="253"/>
      <c r="L313" s="253"/>
      <c r="M313" s="253"/>
      <c r="N313" s="253"/>
      <c r="O313" s="243"/>
      <c r="P313" s="252"/>
      <c r="Q313" s="252"/>
      <c r="R313" s="252"/>
      <c r="S313" s="252"/>
      <c r="T313" s="252"/>
      <c r="U313" s="252"/>
      <c r="V313" s="252"/>
      <c r="W313" s="252"/>
      <c r="X313" s="252"/>
      <c r="Y313" s="252"/>
      <c r="Z313" s="252"/>
      <c r="AA313" s="252"/>
      <c r="AB313" s="252"/>
      <c r="AC313" s="252"/>
      <c r="AD313" s="252"/>
      <c r="AE313" s="1003"/>
      <c r="AF313" s="1003"/>
      <c r="AG313" s="1003"/>
    </row>
    <row r="314" spans="1:33" x14ac:dyDescent="0.25">
      <c r="A314" s="991" t="s">
        <v>530</v>
      </c>
      <c r="B314" s="992" t="s">
        <v>524</v>
      </c>
      <c r="C314" s="1010"/>
      <c r="D314" s="1010"/>
      <c r="E314" s="1002"/>
      <c r="F314" s="253"/>
      <c r="G314" s="253"/>
      <c r="H314" s="253"/>
      <c r="I314" s="253"/>
      <c r="J314" s="253"/>
      <c r="K314" s="253"/>
      <c r="L314" s="253"/>
      <c r="M314" s="253"/>
      <c r="N314" s="253"/>
      <c r="O314" s="253"/>
      <c r="P314" s="243"/>
      <c r="Q314" s="252"/>
      <c r="R314" s="252"/>
      <c r="S314" s="252"/>
      <c r="T314" s="252"/>
      <c r="U314" s="252"/>
      <c r="V314" s="252"/>
      <c r="W314" s="252"/>
      <c r="X314" s="252"/>
      <c r="Y314" s="252"/>
      <c r="Z314" s="252"/>
      <c r="AA314" s="252"/>
      <c r="AB314" s="252"/>
      <c r="AC314" s="252"/>
      <c r="AD314" s="252"/>
      <c r="AE314" s="1003"/>
      <c r="AF314" s="1003"/>
      <c r="AG314" s="1003"/>
    </row>
    <row r="315" spans="1:33" x14ac:dyDescent="0.25">
      <c r="A315" s="991" t="s">
        <v>530</v>
      </c>
      <c r="B315" s="992" t="s">
        <v>525</v>
      </c>
      <c r="C315" s="1010"/>
      <c r="D315" s="1010"/>
      <c r="E315" s="1002"/>
      <c r="F315" s="253"/>
      <c r="G315" s="253"/>
      <c r="H315" s="253"/>
      <c r="I315" s="253"/>
      <c r="J315" s="253"/>
      <c r="K315" s="253"/>
      <c r="L315" s="253"/>
      <c r="M315" s="253"/>
      <c r="N315" s="253"/>
      <c r="O315" s="253"/>
      <c r="P315" s="253"/>
      <c r="Q315" s="243"/>
      <c r="R315" s="252"/>
      <c r="S315" s="252"/>
      <c r="T315" s="252"/>
      <c r="U315" s="252"/>
      <c r="V315" s="252"/>
      <c r="W315" s="252"/>
      <c r="X315" s="252"/>
      <c r="Y315" s="252"/>
      <c r="Z315" s="252"/>
      <c r="AA315" s="252"/>
      <c r="AB315" s="252"/>
      <c r="AC315" s="252"/>
      <c r="AD315" s="252"/>
      <c r="AE315" s="1003"/>
      <c r="AF315" s="1003"/>
      <c r="AG315" s="1003"/>
    </row>
    <row r="316" spans="1:33" x14ac:dyDescent="0.25">
      <c r="A316" s="991" t="s">
        <v>530</v>
      </c>
      <c r="B316" s="992" t="s">
        <v>526</v>
      </c>
      <c r="C316" s="1010"/>
      <c r="D316" s="1010"/>
      <c r="E316" s="1002"/>
      <c r="F316" s="253"/>
      <c r="G316" s="253"/>
      <c r="H316" s="253"/>
      <c r="I316" s="253"/>
      <c r="J316" s="253"/>
      <c r="K316" s="253"/>
      <c r="L316" s="253"/>
      <c r="M316" s="253"/>
      <c r="N316" s="253"/>
      <c r="O316" s="253"/>
      <c r="P316" s="253"/>
      <c r="Q316" s="253"/>
      <c r="R316" s="243"/>
      <c r="S316" s="252"/>
      <c r="T316" s="252"/>
      <c r="U316" s="252"/>
      <c r="V316" s="252"/>
      <c r="W316" s="252"/>
      <c r="X316" s="252"/>
      <c r="Y316" s="252"/>
      <c r="Z316" s="252"/>
      <c r="AA316" s="252"/>
      <c r="AB316" s="252"/>
      <c r="AC316" s="252"/>
      <c r="AD316" s="252"/>
      <c r="AE316" s="1003"/>
      <c r="AF316" s="1003"/>
      <c r="AG316" s="1003"/>
    </row>
    <row r="317" spans="1:33" x14ac:dyDescent="0.25">
      <c r="A317" s="991" t="s">
        <v>530</v>
      </c>
      <c r="B317" s="992" t="s">
        <v>527</v>
      </c>
      <c r="C317" s="1010"/>
      <c r="D317" s="1010"/>
      <c r="E317" s="1002"/>
      <c r="F317" s="253"/>
      <c r="G317" s="253"/>
      <c r="H317" s="253"/>
      <c r="I317" s="253"/>
      <c r="J317" s="253"/>
      <c r="K317" s="253"/>
      <c r="L317" s="253"/>
      <c r="M317" s="253"/>
      <c r="N317" s="253"/>
      <c r="O317" s="253"/>
      <c r="P317" s="253"/>
      <c r="Q317" s="253"/>
      <c r="R317" s="253"/>
      <c r="S317" s="243"/>
      <c r="T317" s="252"/>
      <c r="U317" s="252"/>
      <c r="V317" s="252"/>
      <c r="W317" s="252"/>
      <c r="X317" s="252"/>
      <c r="Y317" s="252"/>
      <c r="Z317" s="252"/>
      <c r="AA317" s="252"/>
      <c r="AB317" s="252"/>
      <c r="AC317" s="252"/>
      <c r="AD317" s="252"/>
      <c r="AE317" s="1003"/>
      <c r="AF317" s="1003"/>
      <c r="AG317" s="1003"/>
    </row>
    <row r="318" spans="1:33" x14ac:dyDescent="0.25">
      <c r="A318" s="991" t="s">
        <v>530</v>
      </c>
      <c r="B318" s="992" t="s">
        <v>531</v>
      </c>
      <c r="C318" s="1010"/>
      <c r="D318" s="1010"/>
      <c r="E318" s="1002"/>
      <c r="F318" s="253"/>
      <c r="G318" s="253"/>
      <c r="H318" s="253"/>
      <c r="I318" s="253"/>
      <c r="J318" s="253"/>
      <c r="K318" s="253"/>
      <c r="L318" s="253"/>
      <c r="M318" s="253"/>
      <c r="N318" s="253"/>
      <c r="O318" s="253"/>
      <c r="P318" s="253"/>
      <c r="Q318" s="253"/>
      <c r="R318" s="253"/>
      <c r="S318" s="253"/>
      <c r="T318" s="243"/>
      <c r="U318" s="252"/>
      <c r="V318" s="252"/>
      <c r="W318" s="252"/>
      <c r="X318" s="252"/>
      <c r="Y318" s="252"/>
      <c r="Z318" s="252"/>
      <c r="AA318" s="252"/>
      <c r="AB318" s="252"/>
      <c r="AC318" s="252"/>
      <c r="AD318" s="252"/>
      <c r="AE318" s="1003"/>
      <c r="AF318" s="1003"/>
      <c r="AG318" s="1003"/>
    </row>
    <row r="319" spans="1:33" x14ac:dyDescent="0.25">
      <c r="A319" s="991" t="s">
        <v>530</v>
      </c>
      <c r="B319" s="992" t="s">
        <v>532</v>
      </c>
      <c r="C319" s="1010"/>
      <c r="D319" s="1010"/>
      <c r="E319" s="1002"/>
      <c r="F319" s="253"/>
      <c r="G319" s="253"/>
      <c r="H319" s="253"/>
      <c r="I319" s="253"/>
      <c r="J319" s="253"/>
      <c r="K319" s="253"/>
      <c r="L319" s="253"/>
      <c r="M319" s="253"/>
      <c r="N319" s="253"/>
      <c r="O319" s="253"/>
      <c r="P319" s="253"/>
      <c r="Q319" s="253"/>
      <c r="R319" s="253"/>
      <c r="S319" s="253"/>
      <c r="T319" s="253"/>
      <c r="U319" s="243"/>
      <c r="V319" s="252"/>
      <c r="W319" s="252"/>
      <c r="X319" s="252"/>
      <c r="Y319" s="252"/>
      <c r="Z319" s="252"/>
      <c r="AA319" s="252"/>
      <c r="AB319" s="252"/>
      <c r="AC319" s="252"/>
      <c r="AD319" s="252"/>
      <c r="AE319" s="1003"/>
      <c r="AF319" s="1003"/>
      <c r="AG319" s="1003"/>
    </row>
    <row r="320" spans="1:33" x14ac:dyDescent="0.25">
      <c r="A320" s="991" t="s">
        <v>530</v>
      </c>
      <c r="B320" s="992" t="s">
        <v>533</v>
      </c>
      <c r="C320" s="1010"/>
      <c r="D320" s="1010"/>
      <c r="E320" s="1002"/>
      <c r="F320" s="253"/>
      <c r="G320" s="253"/>
      <c r="H320" s="253"/>
      <c r="I320" s="253"/>
      <c r="J320" s="253"/>
      <c r="K320" s="253"/>
      <c r="L320" s="253"/>
      <c r="M320" s="253"/>
      <c r="N320" s="253"/>
      <c r="O320" s="253"/>
      <c r="P320" s="253"/>
      <c r="Q320" s="253"/>
      <c r="R320" s="253"/>
      <c r="S320" s="253"/>
      <c r="T320" s="253"/>
      <c r="U320" s="253"/>
      <c r="V320" s="243"/>
      <c r="W320" s="252"/>
      <c r="X320" s="252"/>
      <c r="Y320" s="252"/>
      <c r="Z320" s="252"/>
      <c r="AA320" s="252"/>
      <c r="AB320" s="252"/>
      <c r="AC320" s="252"/>
      <c r="AD320" s="252"/>
      <c r="AE320" s="1003"/>
      <c r="AF320" s="1003"/>
      <c r="AG320" s="1003"/>
    </row>
    <row r="321" spans="1:33" x14ac:dyDescent="0.25">
      <c r="A321" s="991" t="s">
        <v>530</v>
      </c>
      <c r="B321" s="992" t="s">
        <v>543</v>
      </c>
      <c r="C321" s="1010"/>
      <c r="D321" s="1010"/>
      <c r="E321" s="1002"/>
      <c r="F321" s="253"/>
      <c r="G321" s="253"/>
      <c r="H321" s="253"/>
      <c r="I321" s="253"/>
      <c r="J321" s="253"/>
      <c r="K321" s="253"/>
      <c r="L321" s="253"/>
      <c r="M321" s="253"/>
      <c r="N321" s="253"/>
      <c r="O321" s="253"/>
      <c r="P321" s="253"/>
      <c r="Q321" s="253"/>
      <c r="R321" s="253"/>
      <c r="S321" s="253"/>
      <c r="T321" s="253"/>
      <c r="U321" s="253"/>
      <c r="V321" s="253"/>
      <c r="W321" s="243"/>
      <c r="X321" s="252"/>
      <c r="Y321" s="252"/>
      <c r="Z321" s="252"/>
      <c r="AA321" s="252"/>
      <c r="AB321" s="252"/>
      <c r="AC321" s="252"/>
      <c r="AD321" s="252"/>
      <c r="AE321" s="1003"/>
      <c r="AF321" s="1003"/>
      <c r="AG321" s="1003"/>
    </row>
    <row r="322" spans="1:33" x14ac:dyDescent="0.25">
      <c r="A322" s="991" t="s">
        <v>530</v>
      </c>
      <c r="B322" s="992" t="s">
        <v>544</v>
      </c>
      <c r="C322" s="1010"/>
      <c r="D322" s="1010"/>
      <c r="E322" s="1002"/>
      <c r="F322" s="253"/>
      <c r="G322" s="253"/>
      <c r="H322" s="253"/>
      <c r="I322" s="253"/>
      <c r="J322" s="253"/>
      <c r="K322" s="253"/>
      <c r="L322" s="253"/>
      <c r="M322" s="253"/>
      <c r="N322" s="253"/>
      <c r="O322" s="253"/>
      <c r="P322" s="253"/>
      <c r="Q322" s="253"/>
      <c r="R322" s="253"/>
      <c r="S322" s="253"/>
      <c r="T322" s="253"/>
      <c r="U322" s="253"/>
      <c r="V322" s="253"/>
      <c r="W322" s="253"/>
      <c r="X322" s="243"/>
      <c r="Y322" s="252"/>
      <c r="Z322" s="252"/>
      <c r="AA322" s="252"/>
      <c r="AB322" s="252"/>
      <c r="AC322" s="252"/>
      <c r="AD322" s="252"/>
      <c r="AE322" s="1003"/>
      <c r="AF322" s="1003"/>
      <c r="AG322" s="1003"/>
    </row>
    <row r="323" spans="1:33" x14ac:dyDescent="0.25">
      <c r="A323" s="991" t="s">
        <v>530</v>
      </c>
      <c r="B323" s="992" t="s">
        <v>545</v>
      </c>
      <c r="C323" s="1010"/>
      <c r="D323" s="1010"/>
      <c r="E323" s="1002"/>
      <c r="F323" s="253"/>
      <c r="G323" s="253"/>
      <c r="H323" s="253"/>
      <c r="I323" s="253"/>
      <c r="J323" s="253"/>
      <c r="K323" s="253"/>
      <c r="L323" s="253"/>
      <c r="M323" s="253"/>
      <c r="N323" s="253"/>
      <c r="O323" s="253"/>
      <c r="P323" s="253"/>
      <c r="Q323" s="253"/>
      <c r="R323" s="253"/>
      <c r="S323" s="253"/>
      <c r="T323" s="253"/>
      <c r="U323" s="253"/>
      <c r="V323" s="253"/>
      <c r="W323" s="253"/>
      <c r="X323" s="253"/>
      <c r="Y323" s="243"/>
      <c r="Z323" s="1003"/>
      <c r="AA323" s="1003"/>
      <c r="AB323" s="1003"/>
      <c r="AC323" s="1003"/>
      <c r="AD323" s="1003"/>
      <c r="AE323" s="1003"/>
      <c r="AF323" s="1003"/>
      <c r="AG323" s="1003"/>
    </row>
    <row r="324" spans="1:33" x14ac:dyDescent="0.25">
      <c r="A324" s="991" t="s">
        <v>530</v>
      </c>
      <c r="B324" s="992" t="s">
        <v>1532</v>
      </c>
      <c r="C324" s="241"/>
      <c r="D324" s="241"/>
      <c r="E324" s="1005"/>
      <c r="F324" s="253"/>
      <c r="G324" s="253"/>
      <c r="H324" s="253"/>
      <c r="I324" s="253"/>
      <c r="J324" s="253"/>
      <c r="K324" s="253"/>
      <c r="L324" s="253"/>
      <c r="M324" s="253"/>
      <c r="N324" s="253"/>
      <c r="O324" s="253"/>
      <c r="P324" s="253"/>
      <c r="Q324" s="253"/>
      <c r="R324" s="253"/>
      <c r="S324" s="253"/>
      <c r="T324" s="253"/>
      <c r="U324" s="253"/>
      <c r="V324" s="253"/>
      <c r="W324" s="253"/>
      <c r="X324" s="253"/>
      <c r="Y324" s="253"/>
      <c r="Z324" s="243"/>
      <c r="AA324" s="252"/>
      <c r="AB324" s="252"/>
      <c r="AC324" s="252"/>
      <c r="AD324" s="252"/>
      <c r="AE324" s="241"/>
      <c r="AF324" s="241"/>
      <c r="AG324" s="1003"/>
    </row>
    <row r="325" spans="1:33" x14ac:dyDescent="0.25">
      <c r="A325" s="991" t="s">
        <v>530</v>
      </c>
      <c r="B325" s="992" t="s">
        <v>1533</v>
      </c>
      <c r="C325" s="241"/>
      <c r="D325" s="241"/>
      <c r="E325" s="1005"/>
      <c r="F325" s="253"/>
      <c r="G325" s="253"/>
      <c r="H325" s="253"/>
      <c r="I325" s="253"/>
      <c r="J325" s="253"/>
      <c r="K325" s="253"/>
      <c r="L325" s="253"/>
      <c r="M325" s="253"/>
      <c r="N325" s="253"/>
      <c r="O325" s="253"/>
      <c r="P325" s="253"/>
      <c r="Q325" s="253"/>
      <c r="R325" s="253"/>
      <c r="S325" s="253"/>
      <c r="T325" s="253"/>
      <c r="U325" s="253"/>
      <c r="V325" s="253"/>
      <c r="W325" s="253"/>
      <c r="X325" s="253"/>
      <c r="Y325" s="253"/>
      <c r="Z325" s="253"/>
      <c r="AA325" s="243"/>
      <c r="AB325" s="252"/>
      <c r="AC325" s="252"/>
      <c r="AD325" s="252"/>
      <c r="AE325" s="241"/>
      <c r="AF325" s="241"/>
      <c r="AG325" s="1003"/>
    </row>
    <row r="326" spans="1:33" x14ac:dyDescent="0.25">
      <c r="A326" s="991" t="s">
        <v>530</v>
      </c>
      <c r="B326" s="992" t="s">
        <v>1534</v>
      </c>
      <c r="C326" s="241"/>
      <c r="D326" s="241"/>
      <c r="E326" s="1005"/>
      <c r="F326" s="253"/>
      <c r="G326" s="253"/>
      <c r="H326" s="253"/>
      <c r="I326" s="253"/>
      <c r="J326" s="253"/>
      <c r="K326" s="253"/>
      <c r="L326" s="253"/>
      <c r="M326" s="253"/>
      <c r="N326" s="253"/>
      <c r="O326" s="253"/>
      <c r="P326" s="253"/>
      <c r="Q326" s="253"/>
      <c r="R326" s="253"/>
      <c r="S326" s="253"/>
      <c r="T326" s="253"/>
      <c r="U326" s="253"/>
      <c r="V326" s="253"/>
      <c r="W326" s="253"/>
      <c r="X326" s="253"/>
      <c r="Y326" s="253"/>
      <c r="Z326" s="253"/>
      <c r="AA326" s="253"/>
      <c r="AB326" s="243"/>
      <c r="AC326" s="252"/>
      <c r="AD326" s="252"/>
      <c r="AE326" s="241"/>
      <c r="AF326" s="241"/>
      <c r="AG326" s="1003"/>
    </row>
    <row r="327" spans="1:33" x14ac:dyDescent="0.25">
      <c r="A327" s="991" t="s">
        <v>530</v>
      </c>
      <c r="B327" s="992" t="s">
        <v>1535</v>
      </c>
      <c r="C327" s="241"/>
      <c r="D327" s="241"/>
      <c r="E327" s="1005"/>
      <c r="F327" s="253"/>
      <c r="G327" s="253"/>
      <c r="H327" s="253"/>
      <c r="I327" s="253"/>
      <c r="J327" s="253"/>
      <c r="K327" s="253"/>
      <c r="L327" s="253"/>
      <c r="M327" s="253"/>
      <c r="N327" s="253"/>
      <c r="O327" s="253"/>
      <c r="P327" s="253"/>
      <c r="Q327" s="253"/>
      <c r="R327" s="253"/>
      <c r="S327" s="253"/>
      <c r="T327" s="253"/>
      <c r="U327" s="253"/>
      <c r="V327" s="253"/>
      <c r="W327" s="253"/>
      <c r="X327" s="253"/>
      <c r="Y327" s="253"/>
      <c r="Z327" s="253"/>
      <c r="AA327" s="253"/>
      <c r="AB327" s="253"/>
      <c r="AC327" s="243"/>
      <c r="AD327" s="252"/>
      <c r="AE327" s="241"/>
      <c r="AF327" s="241"/>
      <c r="AG327" s="1003"/>
    </row>
    <row r="328" spans="1:33" x14ac:dyDescent="0.25">
      <c r="A328" s="991" t="s">
        <v>530</v>
      </c>
      <c r="B328" s="992" t="s">
        <v>1536</v>
      </c>
      <c r="C328" s="241"/>
      <c r="D328" s="241"/>
      <c r="E328" s="1005"/>
      <c r="F328" s="253"/>
      <c r="G328" s="253"/>
      <c r="H328" s="253"/>
      <c r="I328" s="253"/>
      <c r="J328" s="253"/>
      <c r="K328" s="253"/>
      <c r="L328" s="253"/>
      <c r="M328" s="253"/>
      <c r="N328" s="253"/>
      <c r="O328" s="253"/>
      <c r="P328" s="253"/>
      <c r="Q328" s="253"/>
      <c r="R328" s="253"/>
      <c r="S328" s="253"/>
      <c r="T328" s="253"/>
      <c r="U328" s="253"/>
      <c r="V328" s="253"/>
      <c r="W328" s="253"/>
      <c r="X328" s="253"/>
      <c r="Y328" s="253"/>
      <c r="Z328" s="253"/>
      <c r="AA328" s="253"/>
      <c r="AB328" s="253"/>
      <c r="AC328" s="253"/>
      <c r="AD328" s="243"/>
      <c r="AE328" s="241"/>
      <c r="AF328" s="241"/>
      <c r="AG328" s="1003"/>
    </row>
    <row r="329" spans="1:33" ht="13" x14ac:dyDescent="0.3">
      <c r="A329" s="995"/>
      <c r="B329" s="996" t="s">
        <v>271</v>
      </c>
      <c r="C329" s="242"/>
      <c r="D329" s="242"/>
      <c r="E329" s="242"/>
      <c r="F329" s="242"/>
      <c r="G329" s="242"/>
      <c r="H329" s="242"/>
      <c r="I329" s="242"/>
      <c r="J329" s="242"/>
      <c r="K329" s="242"/>
      <c r="L329" s="242"/>
      <c r="M329" s="242"/>
      <c r="N329" s="242"/>
      <c r="O329" s="242"/>
      <c r="P329" s="242"/>
      <c r="Q329" s="242"/>
      <c r="R329" s="242"/>
      <c r="S329" s="242"/>
      <c r="T329" s="242"/>
      <c r="U329" s="242"/>
      <c r="V329" s="242"/>
      <c r="W329" s="242"/>
      <c r="X329" s="242"/>
      <c r="Y329" s="242"/>
      <c r="Z329" s="242"/>
      <c r="AA329" s="242"/>
      <c r="AB329" s="242"/>
      <c r="AC329" s="242"/>
      <c r="AD329" s="242"/>
      <c r="AE329" s="242"/>
      <c r="AF329" s="242"/>
      <c r="AG329" s="242"/>
    </row>
  </sheetData>
  <mergeCells count="44">
    <mergeCell ref="A2:T2"/>
    <mergeCell ref="A3:T3"/>
    <mergeCell ref="A4:T4"/>
    <mergeCell ref="B6:B7"/>
    <mergeCell ref="C6:C7"/>
    <mergeCell ref="D6:D7"/>
    <mergeCell ref="E6:E7"/>
    <mergeCell ref="F6:AD6"/>
    <mergeCell ref="C37:C38"/>
    <mergeCell ref="D37:D38"/>
    <mergeCell ref="E37:E38"/>
    <mergeCell ref="F37:AD37"/>
    <mergeCell ref="C70:C71"/>
    <mergeCell ref="D70:D71"/>
    <mergeCell ref="E70:E71"/>
    <mergeCell ref="F70:AD70"/>
    <mergeCell ref="C103:C104"/>
    <mergeCell ref="D103:D104"/>
    <mergeCell ref="E103:E104"/>
    <mergeCell ref="F103:AD103"/>
    <mergeCell ref="C136:C137"/>
    <mergeCell ref="D136:D137"/>
    <mergeCell ref="E136:E137"/>
    <mergeCell ref="F136:AD136"/>
    <mergeCell ref="C169:C170"/>
    <mergeCell ref="D169:D170"/>
    <mergeCell ref="E169:E170"/>
    <mergeCell ref="F169:AD169"/>
    <mergeCell ref="C202:C203"/>
    <mergeCell ref="D202:D203"/>
    <mergeCell ref="E202:E203"/>
    <mergeCell ref="F202:AD202"/>
    <mergeCell ref="C301:C302"/>
    <mergeCell ref="D301:D302"/>
    <mergeCell ref="E301:E302"/>
    <mergeCell ref="F301:AD301"/>
    <mergeCell ref="C235:C236"/>
    <mergeCell ref="D235:D236"/>
    <mergeCell ref="E235:E236"/>
    <mergeCell ref="F235:AD235"/>
    <mergeCell ref="C268:C269"/>
    <mergeCell ref="D268:D269"/>
    <mergeCell ref="E268:E269"/>
    <mergeCell ref="F268:AD268"/>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4"/>
  <dimension ref="B2:O405"/>
  <sheetViews>
    <sheetView showGridLines="0" zoomScale="50" zoomScaleNormal="50" workbookViewId="0">
      <selection activeCell="E10" sqref="E10:O35"/>
    </sheetView>
  </sheetViews>
  <sheetFormatPr defaultColWidth="9.36328125" defaultRowHeight="14" x14ac:dyDescent="0.3"/>
  <cols>
    <col min="1" max="1" width="9.36328125" style="247"/>
    <col min="2" max="2" width="7.453125" style="247" bestFit="1" customWidth="1"/>
    <col min="3" max="3" width="32" style="247" bestFit="1" customWidth="1"/>
    <col min="4" max="4" width="8.6328125" style="247" customWidth="1"/>
    <col min="5" max="5" width="18.36328125" style="247" customWidth="1"/>
    <col min="6" max="6" width="13.6328125" style="247" bestFit="1" customWidth="1"/>
    <col min="7" max="8" width="19.36328125" style="247" customWidth="1"/>
    <col min="9" max="9" width="21.54296875" style="247" customWidth="1"/>
    <col min="10" max="10" width="13.54296875" style="247" customWidth="1"/>
    <col min="11" max="11" width="18.36328125" style="247" customWidth="1"/>
    <col min="12" max="12" width="20" style="247" customWidth="1"/>
    <col min="13" max="13" width="18.453125" style="247" customWidth="1"/>
    <col min="14" max="14" width="17.6328125" style="247" customWidth="1"/>
    <col min="15" max="15" width="17.36328125" style="247" customWidth="1"/>
    <col min="16" max="16384" width="9.36328125" style="247"/>
  </cols>
  <sheetData>
    <row r="2" spans="2:15" x14ac:dyDescent="0.3">
      <c r="B2" s="1598" t="str">
        <f>Index!B2</f>
        <v xml:space="preserve">      Maharashtra State Power Generation Company Ltd.</v>
      </c>
      <c r="C2" s="1598"/>
      <c r="D2" s="1598"/>
      <c r="E2" s="1598"/>
      <c r="F2" s="1598"/>
      <c r="G2" s="1598"/>
      <c r="H2" s="1598"/>
      <c r="I2" s="1598"/>
      <c r="J2" s="1598"/>
      <c r="K2" s="1598"/>
      <c r="L2" s="1598"/>
      <c r="M2" s="1598"/>
      <c r="N2" s="1598"/>
      <c r="O2" s="1598"/>
    </row>
    <row r="3" spans="2:15" x14ac:dyDescent="0.3">
      <c r="B3" s="1598" t="str">
        <f>Index!B3</f>
        <v>MYT Petition Formats for Bhusawal Unit 3</v>
      </c>
      <c r="C3" s="1598"/>
      <c r="D3" s="1598"/>
      <c r="E3" s="1598"/>
      <c r="F3" s="1598"/>
      <c r="G3" s="1598"/>
      <c r="H3" s="1598"/>
      <c r="I3" s="1598"/>
      <c r="J3" s="1598"/>
      <c r="K3" s="1598"/>
      <c r="L3" s="1598"/>
      <c r="M3" s="1598"/>
      <c r="N3" s="1598"/>
      <c r="O3" s="1598"/>
    </row>
    <row r="4" spans="2:15" x14ac:dyDescent="0.3">
      <c r="B4" s="1795" t="s">
        <v>735</v>
      </c>
      <c r="C4" s="1795"/>
      <c r="D4" s="1795"/>
      <c r="E4" s="1795"/>
      <c r="F4" s="1795"/>
      <c r="G4" s="1795"/>
      <c r="H4" s="1795"/>
      <c r="I4" s="1795"/>
      <c r="J4" s="1795"/>
      <c r="K4" s="1795"/>
      <c r="L4" s="1795"/>
      <c r="M4" s="1795"/>
      <c r="N4" s="1795"/>
      <c r="O4" s="1795"/>
    </row>
    <row r="5" spans="2:15" x14ac:dyDescent="0.3">
      <c r="B5" s="14"/>
      <c r="C5" s="14"/>
      <c r="D5" s="14"/>
      <c r="E5" s="14"/>
      <c r="F5" s="14"/>
      <c r="G5" s="14"/>
      <c r="H5" s="14"/>
      <c r="I5" s="14"/>
      <c r="J5" s="14"/>
      <c r="K5" s="14"/>
      <c r="L5" s="14"/>
    </row>
    <row r="6" spans="2:15" x14ac:dyDescent="0.3">
      <c r="B6" s="1899" t="s">
        <v>737</v>
      </c>
      <c r="C6" s="1899"/>
      <c r="D6" s="248"/>
      <c r="E6" s="14"/>
      <c r="F6" s="14"/>
      <c r="G6" s="14"/>
      <c r="H6" s="14"/>
      <c r="I6" s="14"/>
      <c r="J6" s="14"/>
      <c r="K6" s="14"/>
      <c r="L6" s="14"/>
    </row>
    <row r="8" spans="2:15" ht="79.25" customHeight="1" x14ac:dyDescent="0.3">
      <c r="B8" s="1600" t="s">
        <v>340</v>
      </c>
      <c r="C8" s="1600" t="s">
        <v>556</v>
      </c>
      <c r="D8" s="1600" t="s">
        <v>567</v>
      </c>
      <c r="E8" s="251" t="s">
        <v>638</v>
      </c>
      <c r="F8" s="1593" t="s">
        <v>557</v>
      </c>
      <c r="G8" s="1593"/>
      <c r="H8" s="1593"/>
      <c r="I8" s="1593"/>
      <c r="J8" s="1593"/>
      <c r="K8" s="1593" t="s">
        <v>561</v>
      </c>
      <c r="L8" s="1593"/>
      <c r="M8" s="1593"/>
      <c r="N8" s="1593" t="s">
        <v>565</v>
      </c>
      <c r="O8" s="1593" t="s">
        <v>566</v>
      </c>
    </row>
    <row r="9" spans="2:15" ht="42.75" customHeight="1" x14ac:dyDescent="0.3">
      <c r="B9" s="1642"/>
      <c r="C9" s="1642"/>
      <c r="D9" s="1642"/>
      <c r="E9" s="226" t="s">
        <v>640</v>
      </c>
      <c r="F9" s="225" t="s">
        <v>563</v>
      </c>
      <c r="G9" s="225" t="s">
        <v>558</v>
      </c>
      <c r="H9" s="249" t="s">
        <v>642</v>
      </c>
      <c r="I9" s="226" t="s">
        <v>559</v>
      </c>
      <c r="J9" s="226" t="s">
        <v>560</v>
      </c>
      <c r="K9" s="226" t="s">
        <v>562</v>
      </c>
      <c r="L9" s="226" t="s">
        <v>564</v>
      </c>
      <c r="M9" s="226" t="s">
        <v>641</v>
      </c>
      <c r="N9" s="1593"/>
      <c r="O9" s="1593"/>
    </row>
    <row r="10" spans="2:15" x14ac:dyDescent="0.3">
      <c r="B10" s="1893">
        <f>B9+1</f>
        <v>1</v>
      </c>
      <c r="C10" s="1896"/>
      <c r="D10" s="120" t="s">
        <v>279</v>
      </c>
      <c r="E10" s="1900" t="s">
        <v>773</v>
      </c>
      <c r="F10" s="1901"/>
      <c r="G10" s="1901"/>
      <c r="H10" s="1901"/>
      <c r="I10" s="1901"/>
      <c r="J10" s="1901"/>
      <c r="K10" s="1901"/>
      <c r="L10" s="1901"/>
      <c r="M10" s="1901"/>
      <c r="N10" s="1901"/>
      <c r="O10" s="1902"/>
    </row>
    <row r="11" spans="2:15" x14ac:dyDescent="0.3">
      <c r="B11" s="1894"/>
      <c r="C11" s="1897"/>
      <c r="D11" s="120" t="s">
        <v>280</v>
      </c>
      <c r="E11" s="1903"/>
      <c r="F11" s="1904"/>
      <c r="G11" s="1904"/>
      <c r="H11" s="1904"/>
      <c r="I11" s="1904"/>
      <c r="J11" s="1904"/>
      <c r="K11" s="1904"/>
      <c r="L11" s="1904"/>
      <c r="M11" s="1904"/>
      <c r="N11" s="1904"/>
      <c r="O11" s="1905"/>
    </row>
    <row r="12" spans="2:15" x14ac:dyDescent="0.3">
      <c r="B12" s="1894"/>
      <c r="C12" s="1897"/>
      <c r="D12" s="120" t="s">
        <v>281</v>
      </c>
      <c r="E12" s="1903"/>
      <c r="F12" s="1904"/>
      <c r="G12" s="1904"/>
      <c r="H12" s="1904"/>
      <c r="I12" s="1904"/>
      <c r="J12" s="1904"/>
      <c r="K12" s="1904"/>
      <c r="L12" s="1904"/>
      <c r="M12" s="1904"/>
      <c r="N12" s="1904"/>
      <c r="O12" s="1905"/>
    </row>
    <row r="13" spans="2:15" x14ac:dyDescent="0.3">
      <c r="B13" s="1894"/>
      <c r="C13" s="1897"/>
      <c r="D13" s="120" t="s">
        <v>568</v>
      </c>
      <c r="E13" s="1903"/>
      <c r="F13" s="1904"/>
      <c r="G13" s="1904"/>
      <c r="H13" s="1904"/>
      <c r="I13" s="1904"/>
      <c r="J13" s="1904"/>
      <c r="K13" s="1904"/>
      <c r="L13" s="1904"/>
      <c r="M13" s="1904"/>
      <c r="N13" s="1904"/>
      <c r="O13" s="1905"/>
    </row>
    <row r="14" spans="2:15" x14ac:dyDescent="0.3">
      <c r="B14" s="1894"/>
      <c r="C14" s="1897"/>
      <c r="D14" s="120" t="s">
        <v>283</v>
      </c>
      <c r="E14" s="1903"/>
      <c r="F14" s="1904"/>
      <c r="G14" s="1904"/>
      <c r="H14" s="1904"/>
      <c r="I14" s="1904"/>
      <c r="J14" s="1904"/>
      <c r="K14" s="1904"/>
      <c r="L14" s="1904"/>
      <c r="M14" s="1904"/>
      <c r="N14" s="1904"/>
      <c r="O14" s="1905"/>
    </row>
    <row r="15" spans="2:15" x14ac:dyDescent="0.3">
      <c r="B15" s="1894"/>
      <c r="C15" s="1897"/>
      <c r="D15" s="120" t="s">
        <v>284</v>
      </c>
      <c r="E15" s="1903"/>
      <c r="F15" s="1904"/>
      <c r="G15" s="1904"/>
      <c r="H15" s="1904"/>
      <c r="I15" s="1904"/>
      <c r="J15" s="1904"/>
      <c r="K15" s="1904"/>
      <c r="L15" s="1904"/>
      <c r="M15" s="1904"/>
      <c r="N15" s="1904"/>
      <c r="O15" s="1905"/>
    </row>
    <row r="16" spans="2:15" x14ac:dyDescent="0.3">
      <c r="B16" s="1894"/>
      <c r="C16" s="1897"/>
      <c r="D16" s="120" t="s">
        <v>285</v>
      </c>
      <c r="E16" s="1903"/>
      <c r="F16" s="1904"/>
      <c r="G16" s="1904"/>
      <c r="H16" s="1904"/>
      <c r="I16" s="1904"/>
      <c r="J16" s="1904"/>
      <c r="K16" s="1904"/>
      <c r="L16" s="1904"/>
      <c r="M16" s="1904"/>
      <c r="N16" s="1904"/>
      <c r="O16" s="1905"/>
    </row>
    <row r="17" spans="2:15" x14ac:dyDescent="0.3">
      <c r="B17" s="1894"/>
      <c r="C17" s="1897"/>
      <c r="D17" s="120" t="s">
        <v>569</v>
      </c>
      <c r="E17" s="1903"/>
      <c r="F17" s="1904"/>
      <c r="G17" s="1904"/>
      <c r="H17" s="1904"/>
      <c r="I17" s="1904"/>
      <c r="J17" s="1904"/>
      <c r="K17" s="1904"/>
      <c r="L17" s="1904"/>
      <c r="M17" s="1904"/>
      <c r="N17" s="1904"/>
      <c r="O17" s="1905"/>
    </row>
    <row r="18" spans="2:15" x14ac:dyDescent="0.3">
      <c r="B18" s="1894"/>
      <c r="C18" s="1897"/>
      <c r="D18" s="120" t="s">
        <v>287</v>
      </c>
      <c r="E18" s="1903"/>
      <c r="F18" s="1904"/>
      <c r="G18" s="1904"/>
      <c r="H18" s="1904"/>
      <c r="I18" s="1904"/>
      <c r="J18" s="1904"/>
      <c r="K18" s="1904"/>
      <c r="L18" s="1904"/>
      <c r="M18" s="1904"/>
      <c r="N18" s="1904"/>
      <c r="O18" s="1905"/>
    </row>
    <row r="19" spans="2:15" x14ac:dyDescent="0.3">
      <c r="B19" s="1894"/>
      <c r="C19" s="1897"/>
      <c r="D19" s="120" t="s">
        <v>288</v>
      </c>
      <c r="E19" s="1903"/>
      <c r="F19" s="1904"/>
      <c r="G19" s="1904"/>
      <c r="H19" s="1904"/>
      <c r="I19" s="1904"/>
      <c r="J19" s="1904"/>
      <c r="K19" s="1904"/>
      <c r="L19" s="1904"/>
      <c r="M19" s="1904"/>
      <c r="N19" s="1904"/>
      <c r="O19" s="1905"/>
    </row>
    <row r="20" spans="2:15" x14ac:dyDescent="0.3">
      <c r="B20" s="1894"/>
      <c r="C20" s="1897"/>
      <c r="D20" s="120" t="s">
        <v>289</v>
      </c>
      <c r="E20" s="1903"/>
      <c r="F20" s="1904"/>
      <c r="G20" s="1904"/>
      <c r="H20" s="1904"/>
      <c r="I20" s="1904"/>
      <c r="J20" s="1904"/>
      <c r="K20" s="1904"/>
      <c r="L20" s="1904"/>
      <c r="M20" s="1904"/>
      <c r="N20" s="1904"/>
      <c r="O20" s="1905"/>
    </row>
    <row r="21" spans="2:15" x14ac:dyDescent="0.3">
      <c r="B21" s="1895"/>
      <c r="C21" s="1898"/>
      <c r="D21" s="120" t="s">
        <v>290</v>
      </c>
      <c r="E21" s="1903"/>
      <c r="F21" s="1904"/>
      <c r="G21" s="1904"/>
      <c r="H21" s="1904"/>
      <c r="I21" s="1904"/>
      <c r="J21" s="1904"/>
      <c r="K21" s="1904"/>
      <c r="L21" s="1904"/>
      <c r="M21" s="1904"/>
      <c r="N21" s="1904"/>
      <c r="O21" s="1905"/>
    </row>
    <row r="22" spans="2:15" x14ac:dyDescent="0.3">
      <c r="B22" s="1893">
        <f>B10+1</f>
        <v>2</v>
      </c>
      <c r="C22" s="1896"/>
      <c r="D22" s="120" t="s">
        <v>279</v>
      </c>
      <c r="E22" s="1903"/>
      <c r="F22" s="1904"/>
      <c r="G22" s="1904"/>
      <c r="H22" s="1904"/>
      <c r="I22" s="1904"/>
      <c r="J22" s="1904"/>
      <c r="K22" s="1904"/>
      <c r="L22" s="1904"/>
      <c r="M22" s="1904"/>
      <c r="N22" s="1904"/>
      <c r="O22" s="1905"/>
    </row>
    <row r="23" spans="2:15" x14ac:dyDescent="0.3">
      <c r="B23" s="1894"/>
      <c r="C23" s="1897"/>
      <c r="D23" s="120" t="s">
        <v>280</v>
      </c>
      <c r="E23" s="1903"/>
      <c r="F23" s="1904"/>
      <c r="G23" s="1904"/>
      <c r="H23" s="1904"/>
      <c r="I23" s="1904"/>
      <c r="J23" s="1904"/>
      <c r="K23" s="1904"/>
      <c r="L23" s="1904"/>
      <c r="M23" s="1904"/>
      <c r="N23" s="1904"/>
      <c r="O23" s="1905"/>
    </row>
    <row r="24" spans="2:15" x14ac:dyDescent="0.3">
      <c r="B24" s="1894"/>
      <c r="C24" s="1897"/>
      <c r="D24" s="120" t="s">
        <v>281</v>
      </c>
      <c r="E24" s="1903"/>
      <c r="F24" s="1904"/>
      <c r="G24" s="1904"/>
      <c r="H24" s="1904"/>
      <c r="I24" s="1904"/>
      <c r="J24" s="1904"/>
      <c r="K24" s="1904"/>
      <c r="L24" s="1904"/>
      <c r="M24" s="1904"/>
      <c r="N24" s="1904"/>
      <c r="O24" s="1905"/>
    </row>
    <row r="25" spans="2:15" x14ac:dyDescent="0.3">
      <c r="B25" s="1894"/>
      <c r="C25" s="1897"/>
      <c r="D25" s="120" t="s">
        <v>568</v>
      </c>
      <c r="E25" s="1903"/>
      <c r="F25" s="1904"/>
      <c r="G25" s="1904"/>
      <c r="H25" s="1904"/>
      <c r="I25" s="1904"/>
      <c r="J25" s="1904"/>
      <c r="K25" s="1904"/>
      <c r="L25" s="1904"/>
      <c r="M25" s="1904"/>
      <c r="N25" s="1904"/>
      <c r="O25" s="1905"/>
    </row>
    <row r="26" spans="2:15" x14ac:dyDescent="0.3">
      <c r="B26" s="1894"/>
      <c r="C26" s="1897"/>
      <c r="D26" s="120" t="s">
        <v>283</v>
      </c>
      <c r="E26" s="1903"/>
      <c r="F26" s="1904"/>
      <c r="G26" s="1904"/>
      <c r="H26" s="1904"/>
      <c r="I26" s="1904"/>
      <c r="J26" s="1904"/>
      <c r="K26" s="1904"/>
      <c r="L26" s="1904"/>
      <c r="M26" s="1904"/>
      <c r="N26" s="1904"/>
      <c r="O26" s="1905"/>
    </row>
    <row r="27" spans="2:15" x14ac:dyDescent="0.3">
      <c r="B27" s="1894"/>
      <c r="C27" s="1897"/>
      <c r="D27" s="120" t="s">
        <v>284</v>
      </c>
      <c r="E27" s="1903"/>
      <c r="F27" s="1904"/>
      <c r="G27" s="1904"/>
      <c r="H27" s="1904"/>
      <c r="I27" s="1904"/>
      <c r="J27" s="1904"/>
      <c r="K27" s="1904"/>
      <c r="L27" s="1904"/>
      <c r="M27" s="1904"/>
      <c r="N27" s="1904"/>
      <c r="O27" s="1905"/>
    </row>
    <row r="28" spans="2:15" x14ac:dyDescent="0.3">
      <c r="B28" s="1894"/>
      <c r="C28" s="1897"/>
      <c r="D28" s="120" t="s">
        <v>285</v>
      </c>
      <c r="E28" s="1903"/>
      <c r="F28" s="1904"/>
      <c r="G28" s="1904"/>
      <c r="H28" s="1904"/>
      <c r="I28" s="1904"/>
      <c r="J28" s="1904"/>
      <c r="K28" s="1904"/>
      <c r="L28" s="1904"/>
      <c r="M28" s="1904"/>
      <c r="N28" s="1904"/>
      <c r="O28" s="1905"/>
    </row>
    <row r="29" spans="2:15" x14ac:dyDescent="0.3">
      <c r="B29" s="1894"/>
      <c r="C29" s="1897"/>
      <c r="D29" s="120" t="s">
        <v>569</v>
      </c>
      <c r="E29" s="1903"/>
      <c r="F29" s="1904"/>
      <c r="G29" s="1904"/>
      <c r="H29" s="1904"/>
      <c r="I29" s="1904"/>
      <c r="J29" s="1904"/>
      <c r="K29" s="1904"/>
      <c r="L29" s="1904"/>
      <c r="M29" s="1904"/>
      <c r="N29" s="1904"/>
      <c r="O29" s="1905"/>
    </row>
    <row r="30" spans="2:15" x14ac:dyDescent="0.3">
      <c r="B30" s="1894"/>
      <c r="C30" s="1897"/>
      <c r="D30" s="120" t="s">
        <v>287</v>
      </c>
      <c r="E30" s="1903"/>
      <c r="F30" s="1904"/>
      <c r="G30" s="1904"/>
      <c r="H30" s="1904"/>
      <c r="I30" s="1904"/>
      <c r="J30" s="1904"/>
      <c r="K30" s="1904"/>
      <c r="L30" s="1904"/>
      <c r="M30" s="1904"/>
      <c r="N30" s="1904"/>
      <c r="O30" s="1905"/>
    </row>
    <row r="31" spans="2:15" x14ac:dyDescent="0.3">
      <c r="B31" s="1894"/>
      <c r="C31" s="1897"/>
      <c r="D31" s="120" t="s">
        <v>288</v>
      </c>
      <c r="E31" s="1903"/>
      <c r="F31" s="1904"/>
      <c r="G31" s="1904"/>
      <c r="H31" s="1904"/>
      <c r="I31" s="1904"/>
      <c r="J31" s="1904"/>
      <c r="K31" s="1904"/>
      <c r="L31" s="1904"/>
      <c r="M31" s="1904"/>
      <c r="N31" s="1904"/>
      <c r="O31" s="1905"/>
    </row>
    <row r="32" spans="2:15" x14ac:dyDescent="0.3">
      <c r="B32" s="1894"/>
      <c r="C32" s="1897"/>
      <c r="D32" s="120" t="s">
        <v>289</v>
      </c>
      <c r="E32" s="1903"/>
      <c r="F32" s="1904"/>
      <c r="G32" s="1904"/>
      <c r="H32" s="1904"/>
      <c r="I32" s="1904"/>
      <c r="J32" s="1904"/>
      <c r="K32" s="1904"/>
      <c r="L32" s="1904"/>
      <c r="M32" s="1904"/>
      <c r="N32" s="1904"/>
      <c r="O32" s="1905"/>
    </row>
    <row r="33" spans="2:15" x14ac:dyDescent="0.3">
      <c r="B33" s="1895"/>
      <c r="C33" s="1898"/>
      <c r="D33" s="120" t="s">
        <v>290</v>
      </c>
      <c r="E33" s="1903"/>
      <c r="F33" s="1904"/>
      <c r="G33" s="1904"/>
      <c r="H33" s="1904"/>
      <c r="I33" s="1904"/>
      <c r="J33" s="1904"/>
      <c r="K33" s="1904"/>
      <c r="L33" s="1904"/>
      <c r="M33" s="1904"/>
      <c r="N33" s="1904"/>
      <c r="O33" s="1905"/>
    </row>
    <row r="34" spans="2:15" x14ac:dyDescent="0.3">
      <c r="B34" s="94">
        <v>3</v>
      </c>
      <c r="C34" s="119"/>
      <c r="D34" s="119"/>
      <c r="E34" s="1903"/>
      <c r="F34" s="1904"/>
      <c r="G34" s="1904"/>
      <c r="H34" s="1904"/>
      <c r="I34" s="1904"/>
      <c r="J34" s="1904"/>
      <c r="K34" s="1904"/>
      <c r="L34" s="1904"/>
      <c r="M34" s="1904"/>
      <c r="N34" s="1904"/>
      <c r="O34" s="1905"/>
    </row>
    <row r="35" spans="2:15" x14ac:dyDescent="0.3">
      <c r="B35" s="94" t="s">
        <v>474</v>
      </c>
      <c r="C35" s="121"/>
      <c r="D35" s="121"/>
      <c r="E35" s="1906"/>
      <c r="F35" s="1907"/>
      <c r="G35" s="1907"/>
      <c r="H35" s="1907"/>
      <c r="I35" s="1907"/>
      <c r="J35" s="1907"/>
      <c r="K35" s="1907"/>
      <c r="L35" s="1907"/>
      <c r="M35" s="1907"/>
      <c r="N35" s="1907"/>
      <c r="O35" s="1908"/>
    </row>
    <row r="37" spans="2:15" x14ac:dyDescent="0.3">
      <c r="B37" s="1899" t="s">
        <v>1119</v>
      </c>
      <c r="C37" s="1899"/>
      <c r="D37" s="294"/>
      <c r="E37" s="14"/>
      <c r="F37" s="14"/>
      <c r="G37" s="14"/>
      <c r="H37" s="14"/>
      <c r="I37" s="14"/>
      <c r="J37" s="14"/>
      <c r="K37" s="14"/>
      <c r="L37" s="14"/>
    </row>
    <row r="39" spans="2:15" ht="79.25" customHeight="1" x14ac:dyDescent="0.3">
      <c r="B39" s="1600" t="s">
        <v>340</v>
      </c>
      <c r="C39" s="1600" t="s">
        <v>556</v>
      </c>
      <c r="D39" s="1600" t="s">
        <v>567</v>
      </c>
      <c r="E39" s="288" t="s">
        <v>638</v>
      </c>
      <c r="F39" s="1593" t="s">
        <v>557</v>
      </c>
      <c r="G39" s="1593"/>
      <c r="H39" s="1593"/>
      <c r="I39" s="1593"/>
      <c r="J39" s="1593"/>
      <c r="K39" s="1593" t="s">
        <v>561</v>
      </c>
      <c r="L39" s="1593"/>
      <c r="M39" s="1593"/>
      <c r="N39" s="1593" t="s">
        <v>740</v>
      </c>
      <c r="O39" s="1593" t="s">
        <v>566</v>
      </c>
    </row>
    <row r="40" spans="2:15" ht="42.75" customHeight="1" x14ac:dyDescent="0.3">
      <c r="B40" s="1642"/>
      <c r="C40" s="1642"/>
      <c r="D40" s="1642"/>
      <c r="E40" s="287" t="s">
        <v>640</v>
      </c>
      <c r="F40" s="285" t="s">
        <v>563</v>
      </c>
      <c r="G40" s="285" t="s">
        <v>558</v>
      </c>
      <c r="H40" s="285" t="s">
        <v>642</v>
      </c>
      <c r="I40" s="287" t="s">
        <v>682</v>
      </c>
      <c r="J40" s="287" t="s">
        <v>738</v>
      </c>
      <c r="K40" s="287" t="s">
        <v>562</v>
      </c>
      <c r="L40" s="287" t="s">
        <v>739</v>
      </c>
      <c r="M40" s="287" t="s">
        <v>641</v>
      </c>
      <c r="N40" s="1593"/>
      <c r="O40" s="1593"/>
    </row>
    <row r="41" spans="2:15" x14ac:dyDescent="0.3">
      <c r="B41" s="1893">
        <f>B40+1</f>
        <v>1</v>
      </c>
      <c r="C41" s="1896"/>
      <c r="D41" s="120" t="s">
        <v>279</v>
      </c>
      <c r="E41" s="1900" t="s">
        <v>773</v>
      </c>
      <c r="F41" s="1901"/>
      <c r="G41" s="1901"/>
      <c r="H41" s="1901"/>
      <c r="I41" s="1901"/>
      <c r="J41" s="1901"/>
      <c r="K41" s="1901"/>
      <c r="L41" s="1901"/>
      <c r="M41" s="1901"/>
      <c r="N41" s="1901"/>
      <c r="O41" s="1902"/>
    </row>
    <row r="42" spans="2:15" x14ac:dyDescent="0.3">
      <c r="B42" s="1894"/>
      <c r="C42" s="1897"/>
      <c r="D42" s="120" t="s">
        <v>280</v>
      </c>
      <c r="E42" s="1903"/>
      <c r="F42" s="1904"/>
      <c r="G42" s="1904"/>
      <c r="H42" s="1904"/>
      <c r="I42" s="1904"/>
      <c r="J42" s="1904"/>
      <c r="K42" s="1904"/>
      <c r="L42" s="1904"/>
      <c r="M42" s="1904"/>
      <c r="N42" s="1904"/>
      <c r="O42" s="1905"/>
    </row>
    <row r="43" spans="2:15" x14ac:dyDescent="0.3">
      <c r="B43" s="1894"/>
      <c r="C43" s="1897"/>
      <c r="D43" s="120" t="s">
        <v>281</v>
      </c>
      <c r="E43" s="1903"/>
      <c r="F43" s="1904"/>
      <c r="G43" s="1904"/>
      <c r="H43" s="1904"/>
      <c r="I43" s="1904"/>
      <c r="J43" s="1904"/>
      <c r="K43" s="1904"/>
      <c r="L43" s="1904"/>
      <c r="M43" s="1904"/>
      <c r="N43" s="1904"/>
      <c r="O43" s="1905"/>
    </row>
    <row r="44" spans="2:15" x14ac:dyDescent="0.3">
      <c r="B44" s="1894"/>
      <c r="C44" s="1897"/>
      <c r="D44" s="120" t="s">
        <v>568</v>
      </c>
      <c r="E44" s="1903"/>
      <c r="F44" s="1904"/>
      <c r="G44" s="1904"/>
      <c r="H44" s="1904"/>
      <c r="I44" s="1904"/>
      <c r="J44" s="1904"/>
      <c r="K44" s="1904"/>
      <c r="L44" s="1904"/>
      <c r="M44" s="1904"/>
      <c r="N44" s="1904"/>
      <c r="O44" s="1905"/>
    </row>
    <row r="45" spans="2:15" x14ac:dyDescent="0.3">
      <c r="B45" s="1894"/>
      <c r="C45" s="1897"/>
      <c r="D45" s="120" t="s">
        <v>283</v>
      </c>
      <c r="E45" s="1903"/>
      <c r="F45" s="1904"/>
      <c r="G45" s="1904"/>
      <c r="H45" s="1904"/>
      <c r="I45" s="1904"/>
      <c r="J45" s="1904"/>
      <c r="K45" s="1904"/>
      <c r="L45" s="1904"/>
      <c r="M45" s="1904"/>
      <c r="N45" s="1904"/>
      <c r="O45" s="1905"/>
    </row>
    <row r="46" spans="2:15" x14ac:dyDescent="0.3">
      <c r="B46" s="1894"/>
      <c r="C46" s="1897"/>
      <c r="D46" s="120" t="s">
        <v>284</v>
      </c>
      <c r="E46" s="1903"/>
      <c r="F46" s="1904"/>
      <c r="G46" s="1904"/>
      <c r="H46" s="1904"/>
      <c r="I46" s="1904"/>
      <c r="J46" s="1904"/>
      <c r="K46" s="1904"/>
      <c r="L46" s="1904"/>
      <c r="M46" s="1904"/>
      <c r="N46" s="1904"/>
      <c r="O46" s="1905"/>
    </row>
    <row r="47" spans="2:15" x14ac:dyDescent="0.3">
      <c r="B47" s="1894"/>
      <c r="C47" s="1897"/>
      <c r="D47" s="120" t="s">
        <v>285</v>
      </c>
      <c r="E47" s="1903"/>
      <c r="F47" s="1904"/>
      <c r="G47" s="1904"/>
      <c r="H47" s="1904"/>
      <c r="I47" s="1904"/>
      <c r="J47" s="1904"/>
      <c r="K47" s="1904"/>
      <c r="L47" s="1904"/>
      <c r="M47" s="1904"/>
      <c r="N47" s="1904"/>
      <c r="O47" s="1905"/>
    </row>
    <row r="48" spans="2:15" x14ac:dyDescent="0.3">
      <c r="B48" s="1894"/>
      <c r="C48" s="1897"/>
      <c r="D48" s="120" t="s">
        <v>569</v>
      </c>
      <c r="E48" s="1903"/>
      <c r="F48" s="1904"/>
      <c r="G48" s="1904"/>
      <c r="H48" s="1904"/>
      <c r="I48" s="1904"/>
      <c r="J48" s="1904"/>
      <c r="K48" s="1904"/>
      <c r="L48" s="1904"/>
      <c r="M48" s="1904"/>
      <c r="N48" s="1904"/>
      <c r="O48" s="1905"/>
    </row>
    <row r="49" spans="2:15" x14ac:dyDescent="0.3">
      <c r="B49" s="1894"/>
      <c r="C49" s="1897"/>
      <c r="D49" s="120" t="s">
        <v>287</v>
      </c>
      <c r="E49" s="1903"/>
      <c r="F49" s="1904"/>
      <c r="G49" s="1904"/>
      <c r="H49" s="1904"/>
      <c r="I49" s="1904"/>
      <c r="J49" s="1904"/>
      <c r="K49" s="1904"/>
      <c r="L49" s="1904"/>
      <c r="M49" s="1904"/>
      <c r="N49" s="1904"/>
      <c r="O49" s="1905"/>
    </row>
    <row r="50" spans="2:15" x14ac:dyDescent="0.3">
      <c r="B50" s="1894"/>
      <c r="C50" s="1897"/>
      <c r="D50" s="120" t="s">
        <v>288</v>
      </c>
      <c r="E50" s="1903"/>
      <c r="F50" s="1904"/>
      <c r="G50" s="1904"/>
      <c r="H50" s="1904"/>
      <c r="I50" s="1904"/>
      <c r="J50" s="1904"/>
      <c r="K50" s="1904"/>
      <c r="L50" s="1904"/>
      <c r="M50" s="1904"/>
      <c r="N50" s="1904"/>
      <c r="O50" s="1905"/>
    </row>
    <row r="51" spans="2:15" x14ac:dyDescent="0.3">
      <c r="B51" s="1894"/>
      <c r="C51" s="1897"/>
      <c r="D51" s="120" t="s">
        <v>289</v>
      </c>
      <c r="E51" s="1903"/>
      <c r="F51" s="1904"/>
      <c r="G51" s="1904"/>
      <c r="H51" s="1904"/>
      <c r="I51" s="1904"/>
      <c r="J51" s="1904"/>
      <c r="K51" s="1904"/>
      <c r="L51" s="1904"/>
      <c r="M51" s="1904"/>
      <c r="N51" s="1904"/>
      <c r="O51" s="1905"/>
    </row>
    <row r="52" spans="2:15" x14ac:dyDescent="0.3">
      <c r="B52" s="1895"/>
      <c r="C52" s="1898"/>
      <c r="D52" s="120" t="s">
        <v>290</v>
      </c>
      <c r="E52" s="1903"/>
      <c r="F52" s="1904"/>
      <c r="G52" s="1904"/>
      <c r="H52" s="1904"/>
      <c r="I52" s="1904"/>
      <c r="J52" s="1904"/>
      <c r="K52" s="1904"/>
      <c r="L52" s="1904"/>
      <c r="M52" s="1904"/>
      <c r="N52" s="1904"/>
      <c r="O52" s="1905"/>
    </row>
    <row r="53" spans="2:15" x14ac:dyDescent="0.3">
      <c r="B53" s="1893">
        <f>B41+1</f>
        <v>2</v>
      </c>
      <c r="C53" s="1896"/>
      <c r="D53" s="120" t="s">
        <v>279</v>
      </c>
      <c r="E53" s="1903"/>
      <c r="F53" s="1904"/>
      <c r="G53" s="1904"/>
      <c r="H53" s="1904"/>
      <c r="I53" s="1904"/>
      <c r="J53" s="1904"/>
      <c r="K53" s="1904"/>
      <c r="L53" s="1904"/>
      <c r="M53" s="1904"/>
      <c r="N53" s="1904"/>
      <c r="O53" s="1905"/>
    </row>
    <row r="54" spans="2:15" x14ac:dyDescent="0.3">
      <c r="B54" s="1894"/>
      <c r="C54" s="1897"/>
      <c r="D54" s="120" t="s">
        <v>280</v>
      </c>
      <c r="E54" s="1903"/>
      <c r="F54" s="1904"/>
      <c r="G54" s="1904"/>
      <c r="H54" s="1904"/>
      <c r="I54" s="1904"/>
      <c r="J54" s="1904"/>
      <c r="K54" s="1904"/>
      <c r="L54" s="1904"/>
      <c r="M54" s="1904"/>
      <c r="N54" s="1904"/>
      <c r="O54" s="1905"/>
    </row>
    <row r="55" spans="2:15" x14ac:dyDescent="0.3">
      <c r="B55" s="1894"/>
      <c r="C55" s="1897"/>
      <c r="D55" s="120" t="s">
        <v>281</v>
      </c>
      <c r="E55" s="1903"/>
      <c r="F55" s="1904"/>
      <c r="G55" s="1904"/>
      <c r="H55" s="1904"/>
      <c r="I55" s="1904"/>
      <c r="J55" s="1904"/>
      <c r="K55" s="1904"/>
      <c r="L55" s="1904"/>
      <c r="M55" s="1904"/>
      <c r="N55" s="1904"/>
      <c r="O55" s="1905"/>
    </row>
    <row r="56" spans="2:15" x14ac:dyDescent="0.3">
      <c r="B56" s="1894"/>
      <c r="C56" s="1897"/>
      <c r="D56" s="120" t="s">
        <v>568</v>
      </c>
      <c r="E56" s="1903"/>
      <c r="F56" s="1904"/>
      <c r="G56" s="1904"/>
      <c r="H56" s="1904"/>
      <c r="I56" s="1904"/>
      <c r="J56" s="1904"/>
      <c r="K56" s="1904"/>
      <c r="L56" s="1904"/>
      <c r="M56" s="1904"/>
      <c r="N56" s="1904"/>
      <c r="O56" s="1905"/>
    </row>
    <row r="57" spans="2:15" x14ac:dyDescent="0.3">
      <c r="B57" s="1894"/>
      <c r="C57" s="1897"/>
      <c r="D57" s="120" t="s">
        <v>283</v>
      </c>
      <c r="E57" s="1903"/>
      <c r="F57" s="1904"/>
      <c r="G57" s="1904"/>
      <c r="H57" s="1904"/>
      <c r="I57" s="1904"/>
      <c r="J57" s="1904"/>
      <c r="K57" s="1904"/>
      <c r="L57" s="1904"/>
      <c r="M57" s="1904"/>
      <c r="N57" s="1904"/>
      <c r="O57" s="1905"/>
    </row>
    <row r="58" spans="2:15" x14ac:dyDescent="0.3">
      <c r="B58" s="1894"/>
      <c r="C58" s="1897"/>
      <c r="D58" s="120" t="s">
        <v>284</v>
      </c>
      <c r="E58" s="1903"/>
      <c r="F58" s="1904"/>
      <c r="G58" s="1904"/>
      <c r="H58" s="1904"/>
      <c r="I58" s="1904"/>
      <c r="J58" s="1904"/>
      <c r="K58" s="1904"/>
      <c r="L58" s="1904"/>
      <c r="M58" s="1904"/>
      <c r="N58" s="1904"/>
      <c r="O58" s="1905"/>
    </row>
    <row r="59" spans="2:15" x14ac:dyDescent="0.3">
      <c r="B59" s="1894"/>
      <c r="C59" s="1897"/>
      <c r="D59" s="120" t="s">
        <v>285</v>
      </c>
      <c r="E59" s="1903"/>
      <c r="F59" s="1904"/>
      <c r="G59" s="1904"/>
      <c r="H59" s="1904"/>
      <c r="I59" s="1904"/>
      <c r="J59" s="1904"/>
      <c r="K59" s="1904"/>
      <c r="L59" s="1904"/>
      <c r="M59" s="1904"/>
      <c r="N59" s="1904"/>
      <c r="O59" s="1905"/>
    </row>
    <row r="60" spans="2:15" x14ac:dyDescent="0.3">
      <c r="B60" s="1894"/>
      <c r="C60" s="1897"/>
      <c r="D60" s="120" t="s">
        <v>569</v>
      </c>
      <c r="E60" s="1903"/>
      <c r="F60" s="1904"/>
      <c r="G60" s="1904"/>
      <c r="H60" s="1904"/>
      <c r="I60" s="1904"/>
      <c r="J60" s="1904"/>
      <c r="K60" s="1904"/>
      <c r="L60" s="1904"/>
      <c r="M60" s="1904"/>
      <c r="N60" s="1904"/>
      <c r="O60" s="1905"/>
    </row>
    <row r="61" spans="2:15" x14ac:dyDescent="0.3">
      <c r="B61" s="1894"/>
      <c r="C61" s="1897"/>
      <c r="D61" s="120" t="s">
        <v>287</v>
      </c>
      <c r="E61" s="1903"/>
      <c r="F61" s="1904"/>
      <c r="G61" s="1904"/>
      <c r="H61" s="1904"/>
      <c r="I61" s="1904"/>
      <c r="J61" s="1904"/>
      <c r="K61" s="1904"/>
      <c r="L61" s="1904"/>
      <c r="M61" s="1904"/>
      <c r="N61" s="1904"/>
      <c r="O61" s="1905"/>
    </row>
    <row r="62" spans="2:15" x14ac:dyDescent="0.3">
      <c r="B62" s="1894"/>
      <c r="C62" s="1897"/>
      <c r="D62" s="120" t="s">
        <v>288</v>
      </c>
      <c r="E62" s="1903"/>
      <c r="F62" s="1904"/>
      <c r="G62" s="1904"/>
      <c r="H62" s="1904"/>
      <c r="I62" s="1904"/>
      <c r="J62" s="1904"/>
      <c r="K62" s="1904"/>
      <c r="L62" s="1904"/>
      <c r="M62" s="1904"/>
      <c r="N62" s="1904"/>
      <c r="O62" s="1905"/>
    </row>
    <row r="63" spans="2:15" x14ac:dyDescent="0.3">
      <c r="B63" s="1894"/>
      <c r="C63" s="1897"/>
      <c r="D63" s="120" t="s">
        <v>289</v>
      </c>
      <c r="E63" s="1903"/>
      <c r="F63" s="1904"/>
      <c r="G63" s="1904"/>
      <c r="H63" s="1904"/>
      <c r="I63" s="1904"/>
      <c r="J63" s="1904"/>
      <c r="K63" s="1904"/>
      <c r="L63" s="1904"/>
      <c r="M63" s="1904"/>
      <c r="N63" s="1904"/>
      <c r="O63" s="1905"/>
    </row>
    <row r="64" spans="2:15" x14ac:dyDescent="0.3">
      <c r="B64" s="1895"/>
      <c r="C64" s="1898"/>
      <c r="D64" s="120" t="s">
        <v>290</v>
      </c>
      <c r="E64" s="1903"/>
      <c r="F64" s="1904"/>
      <c r="G64" s="1904"/>
      <c r="H64" s="1904"/>
      <c r="I64" s="1904"/>
      <c r="J64" s="1904"/>
      <c r="K64" s="1904"/>
      <c r="L64" s="1904"/>
      <c r="M64" s="1904"/>
      <c r="N64" s="1904"/>
      <c r="O64" s="1905"/>
    </row>
    <row r="65" spans="2:15" x14ac:dyDescent="0.3">
      <c r="B65" s="94">
        <v>3</v>
      </c>
      <c r="C65" s="119"/>
      <c r="D65" s="119"/>
      <c r="E65" s="1903"/>
      <c r="F65" s="1904"/>
      <c r="G65" s="1904"/>
      <c r="H65" s="1904"/>
      <c r="I65" s="1904"/>
      <c r="J65" s="1904"/>
      <c r="K65" s="1904"/>
      <c r="L65" s="1904"/>
      <c r="M65" s="1904"/>
      <c r="N65" s="1904"/>
      <c r="O65" s="1905"/>
    </row>
    <row r="66" spans="2:15" x14ac:dyDescent="0.3">
      <c r="B66" s="94" t="s">
        <v>474</v>
      </c>
      <c r="C66" s="121"/>
      <c r="D66" s="121"/>
      <c r="E66" s="1906"/>
      <c r="F66" s="1907"/>
      <c r="G66" s="1907"/>
      <c r="H66" s="1907"/>
      <c r="I66" s="1907"/>
      <c r="J66" s="1907"/>
      <c r="K66" s="1907"/>
      <c r="L66" s="1907"/>
      <c r="M66" s="1907"/>
      <c r="N66" s="1907"/>
      <c r="O66" s="1908"/>
    </row>
    <row r="68" spans="2:15" x14ac:dyDescent="0.3">
      <c r="B68" s="247" t="s">
        <v>736</v>
      </c>
    </row>
    <row r="70" spans="2:15" x14ac:dyDescent="0.3">
      <c r="B70" s="1899" t="s">
        <v>1120</v>
      </c>
      <c r="C70" s="1899"/>
      <c r="D70" s="248"/>
      <c r="E70" s="14"/>
      <c r="F70" s="14"/>
      <c r="G70" s="14"/>
      <c r="H70" s="14"/>
      <c r="I70" s="14"/>
      <c r="J70" s="14"/>
      <c r="K70" s="14"/>
      <c r="L70" s="14"/>
    </row>
    <row r="72" spans="2:15" ht="56" x14ac:dyDescent="0.3">
      <c r="B72" s="1600" t="s">
        <v>340</v>
      </c>
      <c r="C72" s="1600" t="s">
        <v>556</v>
      </c>
      <c r="D72" s="1600" t="s">
        <v>567</v>
      </c>
      <c r="E72" s="251" t="s">
        <v>638</v>
      </c>
      <c r="F72" s="1593" t="s">
        <v>557</v>
      </c>
      <c r="G72" s="1593"/>
      <c r="H72" s="1593"/>
      <c r="I72" s="1593"/>
      <c r="J72" s="1593"/>
      <c r="K72" s="1593" t="s">
        <v>561</v>
      </c>
      <c r="L72" s="1593"/>
      <c r="M72" s="1593"/>
      <c r="N72" s="1593" t="s">
        <v>565</v>
      </c>
      <c r="O72" s="1593" t="s">
        <v>566</v>
      </c>
    </row>
    <row r="73" spans="2:15" ht="28" x14ac:dyDescent="0.3">
      <c r="B73" s="1642"/>
      <c r="C73" s="1642"/>
      <c r="D73" s="1642"/>
      <c r="E73" s="250" t="s">
        <v>640</v>
      </c>
      <c r="F73" s="249" t="s">
        <v>563</v>
      </c>
      <c r="G73" s="249" t="s">
        <v>558</v>
      </c>
      <c r="H73" s="249" t="s">
        <v>642</v>
      </c>
      <c r="I73" s="250" t="s">
        <v>559</v>
      </c>
      <c r="J73" s="250" t="s">
        <v>560</v>
      </c>
      <c r="K73" s="250" t="s">
        <v>562</v>
      </c>
      <c r="L73" s="250" t="s">
        <v>564</v>
      </c>
      <c r="M73" s="250" t="s">
        <v>641</v>
      </c>
      <c r="N73" s="1593"/>
      <c r="O73" s="1593"/>
    </row>
    <row r="74" spans="2:15" x14ac:dyDescent="0.3">
      <c r="B74" s="1893">
        <f>B73+1</f>
        <v>1</v>
      </c>
      <c r="C74" s="1896"/>
      <c r="D74" s="120" t="s">
        <v>279</v>
      </c>
      <c r="E74" s="1900" t="s">
        <v>773</v>
      </c>
      <c r="F74" s="1901"/>
      <c r="G74" s="1901"/>
      <c r="H74" s="1901"/>
      <c r="I74" s="1901"/>
      <c r="J74" s="1901"/>
      <c r="K74" s="1901"/>
      <c r="L74" s="1901"/>
      <c r="M74" s="1901"/>
      <c r="N74" s="1901"/>
      <c r="O74" s="1902"/>
    </row>
    <row r="75" spans="2:15" x14ac:dyDescent="0.3">
      <c r="B75" s="1894"/>
      <c r="C75" s="1897"/>
      <c r="D75" s="120" t="s">
        <v>280</v>
      </c>
      <c r="E75" s="1903"/>
      <c r="F75" s="1904"/>
      <c r="G75" s="1904"/>
      <c r="H75" s="1904"/>
      <c r="I75" s="1904"/>
      <c r="J75" s="1904"/>
      <c r="K75" s="1904"/>
      <c r="L75" s="1904"/>
      <c r="M75" s="1904"/>
      <c r="N75" s="1904"/>
      <c r="O75" s="1905"/>
    </row>
    <row r="76" spans="2:15" x14ac:dyDescent="0.3">
      <c r="B76" s="1894"/>
      <c r="C76" s="1897"/>
      <c r="D76" s="120" t="s">
        <v>281</v>
      </c>
      <c r="E76" s="1903"/>
      <c r="F76" s="1904"/>
      <c r="G76" s="1904"/>
      <c r="H76" s="1904"/>
      <c r="I76" s="1904"/>
      <c r="J76" s="1904"/>
      <c r="K76" s="1904"/>
      <c r="L76" s="1904"/>
      <c r="M76" s="1904"/>
      <c r="N76" s="1904"/>
      <c r="O76" s="1905"/>
    </row>
    <row r="77" spans="2:15" x14ac:dyDescent="0.3">
      <c r="B77" s="1894"/>
      <c r="C77" s="1897"/>
      <c r="D77" s="120" t="s">
        <v>568</v>
      </c>
      <c r="E77" s="1903"/>
      <c r="F77" s="1904"/>
      <c r="G77" s="1904"/>
      <c r="H77" s="1904"/>
      <c r="I77" s="1904"/>
      <c r="J77" s="1904"/>
      <c r="K77" s="1904"/>
      <c r="L77" s="1904"/>
      <c r="M77" s="1904"/>
      <c r="N77" s="1904"/>
      <c r="O77" s="1905"/>
    </row>
    <row r="78" spans="2:15" x14ac:dyDescent="0.3">
      <c r="B78" s="1894"/>
      <c r="C78" s="1897"/>
      <c r="D78" s="120" t="s">
        <v>283</v>
      </c>
      <c r="E78" s="1903"/>
      <c r="F78" s="1904"/>
      <c r="G78" s="1904"/>
      <c r="H78" s="1904"/>
      <c r="I78" s="1904"/>
      <c r="J78" s="1904"/>
      <c r="K78" s="1904"/>
      <c r="L78" s="1904"/>
      <c r="M78" s="1904"/>
      <c r="N78" s="1904"/>
      <c r="O78" s="1905"/>
    </row>
    <row r="79" spans="2:15" x14ac:dyDescent="0.3">
      <c r="B79" s="1894"/>
      <c r="C79" s="1897"/>
      <c r="D79" s="120" t="s">
        <v>284</v>
      </c>
      <c r="E79" s="1903"/>
      <c r="F79" s="1904"/>
      <c r="G79" s="1904"/>
      <c r="H79" s="1904"/>
      <c r="I79" s="1904"/>
      <c r="J79" s="1904"/>
      <c r="K79" s="1904"/>
      <c r="L79" s="1904"/>
      <c r="M79" s="1904"/>
      <c r="N79" s="1904"/>
      <c r="O79" s="1905"/>
    </row>
    <row r="80" spans="2:15" x14ac:dyDescent="0.3">
      <c r="B80" s="1894"/>
      <c r="C80" s="1897"/>
      <c r="D80" s="120" t="s">
        <v>285</v>
      </c>
      <c r="E80" s="1903"/>
      <c r="F80" s="1904"/>
      <c r="G80" s="1904"/>
      <c r="H80" s="1904"/>
      <c r="I80" s="1904"/>
      <c r="J80" s="1904"/>
      <c r="K80" s="1904"/>
      <c r="L80" s="1904"/>
      <c r="M80" s="1904"/>
      <c r="N80" s="1904"/>
      <c r="O80" s="1905"/>
    </row>
    <row r="81" spans="2:15" x14ac:dyDescent="0.3">
      <c r="B81" s="1894"/>
      <c r="C81" s="1897"/>
      <c r="D81" s="120" t="s">
        <v>569</v>
      </c>
      <c r="E81" s="1903"/>
      <c r="F81" s="1904"/>
      <c r="G81" s="1904"/>
      <c r="H81" s="1904"/>
      <c r="I81" s="1904"/>
      <c r="J81" s="1904"/>
      <c r="K81" s="1904"/>
      <c r="L81" s="1904"/>
      <c r="M81" s="1904"/>
      <c r="N81" s="1904"/>
      <c r="O81" s="1905"/>
    </row>
    <row r="82" spans="2:15" x14ac:dyDescent="0.3">
      <c r="B82" s="1894"/>
      <c r="C82" s="1897"/>
      <c r="D82" s="120" t="s">
        <v>287</v>
      </c>
      <c r="E82" s="1903"/>
      <c r="F82" s="1904"/>
      <c r="G82" s="1904"/>
      <c r="H82" s="1904"/>
      <c r="I82" s="1904"/>
      <c r="J82" s="1904"/>
      <c r="K82" s="1904"/>
      <c r="L82" s="1904"/>
      <c r="M82" s="1904"/>
      <c r="N82" s="1904"/>
      <c r="O82" s="1905"/>
    </row>
    <row r="83" spans="2:15" x14ac:dyDescent="0.3">
      <c r="B83" s="1894"/>
      <c r="C83" s="1897"/>
      <c r="D83" s="120" t="s">
        <v>288</v>
      </c>
      <c r="E83" s="1903"/>
      <c r="F83" s="1904"/>
      <c r="G83" s="1904"/>
      <c r="H83" s="1904"/>
      <c r="I83" s="1904"/>
      <c r="J83" s="1904"/>
      <c r="K83" s="1904"/>
      <c r="L83" s="1904"/>
      <c r="M83" s="1904"/>
      <c r="N83" s="1904"/>
      <c r="O83" s="1905"/>
    </row>
    <row r="84" spans="2:15" x14ac:dyDescent="0.3">
      <c r="B84" s="1894"/>
      <c r="C84" s="1897"/>
      <c r="D84" s="120" t="s">
        <v>289</v>
      </c>
      <c r="E84" s="1903"/>
      <c r="F84" s="1904"/>
      <c r="G84" s="1904"/>
      <c r="H84" s="1904"/>
      <c r="I84" s="1904"/>
      <c r="J84" s="1904"/>
      <c r="K84" s="1904"/>
      <c r="L84" s="1904"/>
      <c r="M84" s="1904"/>
      <c r="N84" s="1904"/>
      <c r="O84" s="1905"/>
    </row>
    <row r="85" spans="2:15" x14ac:dyDescent="0.3">
      <c r="B85" s="1895"/>
      <c r="C85" s="1898"/>
      <c r="D85" s="120" t="s">
        <v>290</v>
      </c>
      <c r="E85" s="1903"/>
      <c r="F85" s="1904"/>
      <c r="G85" s="1904"/>
      <c r="H85" s="1904"/>
      <c r="I85" s="1904"/>
      <c r="J85" s="1904"/>
      <c r="K85" s="1904"/>
      <c r="L85" s="1904"/>
      <c r="M85" s="1904"/>
      <c r="N85" s="1904"/>
      <c r="O85" s="1905"/>
    </row>
    <row r="86" spans="2:15" x14ac:dyDescent="0.3">
      <c r="B86" s="1893">
        <f>B74+1</f>
        <v>2</v>
      </c>
      <c r="C86" s="1896"/>
      <c r="D86" s="120" t="s">
        <v>279</v>
      </c>
      <c r="E86" s="1903"/>
      <c r="F86" s="1904"/>
      <c r="G86" s="1904"/>
      <c r="H86" s="1904"/>
      <c r="I86" s="1904"/>
      <c r="J86" s="1904"/>
      <c r="K86" s="1904"/>
      <c r="L86" s="1904"/>
      <c r="M86" s="1904"/>
      <c r="N86" s="1904"/>
      <c r="O86" s="1905"/>
    </row>
    <row r="87" spans="2:15" x14ac:dyDescent="0.3">
      <c r="B87" s="1894"/>
      <c r="C87" s="1897"/>
      <c r="D87" s="120" t="s">
        <v>280</v>
      </c>
      <c r="E87" s="1903"/>
      <c r="F87" s="1904"/>
      <c r="G87" s="1904"/>
      <c r="H87" s="1904"/>
      <c r="I87" s="1904"/>
      <c r="J87" s="1904"/>
      <c r="K87" s="1904"/>
      <c r="L87" s="1904"/>
      <c r="M87" s="1904"/>
      <c r="N87" s="1904"/>
      <c r="O87" s="1905"/>
    </row>
    <row r="88" spans="2:15" x14ac:dyDescent="0.3">
      <c r="B88" s="1894"/>
      <c r="C88" s="1897"/>
      <c r="D88" s="120" t="s">
        <v>281</v>
      </c>
      <c r="E88" s="1903"/>
      <c r="F88" s="1904"/>
      <c r="G88" s="1904"/>
      <c r="H88" s="1904"/>
      <c r="I88" s="1904"/>
      <c r="J88" s="1904"/>
      <c r="K88" s="1904"/>
      <c r="L88" s="1904"/>
      <c r="M88" s="1904"/>
      <c r="N88" s="1904"/>
      <c r="O88" s="1905"/>
    </row>
    <row r="89" spans="2:15" x14ac:dyDescent="0.3">
      <c r="B89" s="1894"/>
      <c r="C89" s="1897"/>
      <c r="D89" s="120" t="s">
        <v>568</v>
      </c>
      <c r="E89" s="1903"/>
      <c r="F89" s="1904"/>
      <c r="G89" s="1904"/>
      <c r="H89" s="1904"/>
      <c r="I89" s="1904"/>
      <c r="J89" s="1904"/>
      <c r="K89" s="1904"/>
      <c r="L89" s="1904"/>
      <c r="M89" s="1904"/>
      <c r="N89" s="1904"/>
      <c r="O89" s="1905"/>
    </row>
    <row r="90" spans="2:15" x14ac:dyDescent="0.3">
      <c r="B90" s="1894"/>
      <c r="C90" s="1897"/>
      <c r="D90" s="120" t="s">
        <v>283</v>
      </c>
      <c r="E90" s="1903"/>
      <c r="F90" s="1904"/>
      <c r="G90" s="1904"/>
      <c r="H90" s="1904"/>
      <c r="I90" s="1904"/>
      <c r="J90" s="1904"/>
      <c r="K90" s="1904"/>
      <c r="L90" s="1904"/>
      <c r="M90" s="1904"/>
      <c r="N90" s="1904"/>
      <c r="O90" s="1905"/>
    </row>
    <row r="91" spans="2:15" x14ac:dyDescent="0.3">
      <c r="B91" s="1894"/>
      <c r="C91" s="1897"/>
      <c r="D91" s="120" t="s">
        <v>284</v>
      </c>
      <c r="E91" s="1903"/>
      <c r="F91" s="1904"/>
      <c r="G91" s="1904"/>
      <c r="H91" s="1904"/>
      <c r="I91" s="1904"/>
      <c r="J91" s="1904"/>
      <c r="K91" s="1904"/>
      <c r="L91" s="1904"/>
      <c r="M91" s="1904"/>
      <c r="N91" s="1904"/>
      <c r="O91" s="1905"/>
    </row>
    <row r="92" spans="2:15" x14ac:dyDescent="0.3">
      <c r="B92" s="1894"/>
      <c r="C92" s="1897"/>
      <c r="D92" s="120" t="s">
        <v>285</v>
      </c>
      <c r="E92" s="1903"/>
      <c r="F92" s="1904"/>
      <c r="G92" s="1904"/>
      <c r="H92" s="1904"/>
      <c r="I92" s="1904"/>
      <c r="J92" s="1904"/>
      <c r="K92" s="1904"/>
      <c r="L92" s="1904"/>
      <c r="M92" s="1904"/>
      <c r="N92" s="1904"/>
      <c r="O92" s="1905"/>
    </row>
    <row r="93" spans="2:15" x14ac:dyDescent="0.3">
      <c r="B93" s="1894"/>
      <c r="C93" s="1897"/>
      <c r="D93" s="120" t="s">
        <v>569</v>
      </c>
      <c r="E93" s="1903"/>
      <c r="F93" s="1904"/>
      <c r="G93" s="1904"/>
      <c r="H93" s="1904"/>
      <c r="I93" s="1904"/>
      <c r="J93" s="1904"/>
      <c r="K93" s="1904"/>
      <c r="L93" s="1904"/>
      <c r="M93" s="1904"/>
      <c r="N93" s="1904"/>
      <c r="O93" s="1905"/>
    </row>
    <row r="94" spans="2:15" x14ac:dyDescent="0.3">
      <c r="B94" s="1894"/>
      <c r="C94" s="1897"/>
      <c r="D94" s="120" t="s">
        <v>287</v>
      </c>
      <c r="E94" s="1903"/>
      <c r="F94" s="1904"/>
      <c r="G94" s="1904"/>
      <c r="H94" s="1904"/>
      <c r="I94" s="1904"/>
      <c r="J94" s="1904"/>
      <c r="K94" s="1904"/>
      <c r="L94" s="1904"/>
      <c r="M94" s="1904"/>
      <c r="N94" s="1904"/>
      <c r="O94" s="1905"/>
    </row>
    <row r="95" spans="2:15" x14ac:dyDescent="0.3">
      <c r="B95" s="1894"/>
      <c r="C95" s="1897"/>
      <c r="D95" s="120" t="s">
        <v>288</v>
      </c>
      <c r="E95" s="1903"/>
      <c r="F95" s="1904"/>
      <c r="G95" s="1904"/>
      <c r="H95" s="1904"/>
      <c r="I95" s="1904"/>
      <c r="J95" s="1904"/>
      <c r="K95" s="1904"/>
      <c r="L95" s="1904"/>
      <c r="M95" s="1904"/>
      <c r="N95" s="1904"/>
      <c r="O95" s="1905"/>
    </row>
    <row r="96" spans="2:15" x14ac:dyDescent="0.3">
      <c r="B96" s="1894"/>
      <c r="C96" s="1897"/>
      <c r="D96" s="120" t="s">
        <v>289</v>
      </c>
      <c r="E96" s="1903"/>
      <c r="F96" s="1904"/>
      <c r="G96" s="1904"/>
      <c r="H96" s="1904"/>
      <c r="I96" s="1904"/>
      <c r="J96" s="1904"/>
      <c r="K96" s="1904"/>
      <c r="L96" s="1904"/>
      <c r="M96" s="1904"/>
      <c r="N96" s="1904"/>
      <c r="O96" s="1905"/>
    </row>
    <row r="97" spans="2:15" x14ac:dyDescent="0.3">
      <c r="B97" s="1895"/>
      <c r="C97" s="1898"/>
      <c r="D97" s="120" t="s">
        <v>290</v>
      </c>
      <c r="E97" s="1903"/>
      <c r="F97" s="1904"/>
      <c r="G97" s="1904"/>
      <c r="H97" s="1904"/>
      <c r="I97" s="1904"/>
      <c r="J97" s="1904"/>
      <c r="K97" s="1904"/>
      <c r="L97" s="1904"/>
      <c r="M97" s="1904"/>
      <c r="N97" s="1904"/>
      <c r="O97" s="1905"/>
    </row>
    <row r="98" spans="2:15" x14ac:dyDescent="0.3">
      <c r="B98" s="94">
        <v>3</v>
      </c>
      <c r="C98" s="119"/>
      <c r="D98" s="119"/>
      <c r="E98" s="1903"/>
      <c r="F98" s="1904"/>
      <c r="G98" s="1904"/>
      <c r="H98" s="1904"/>
      <c r="I98" s="1904"/>
      <c r="J98" s="1904"/>
      <c r="K98" s="1904"/>
      <c r="L98" s="1904"/>
      <c r="M98" s="1904"/>
      <c r="N98" s="1904"/>
      <c r="O98" s="1905"/>
    </row>
    <row r="99" spans="2:15" x14ac:dyDescent="0.3">
      <c r="B99" s="94" t="s">
        <v>474</v>
      </c>
      <c r="C99" s="121"/>
      <c r="D99" s="121"/>
      <c r="E99" s="1906"/>
      <c r="F99" s="1907"/>
      <c r="G99" s="1907"/>
      <c r="H99" s="1907"/>
      <c r="I99" s="1907"/>
      <c r="J99" s="1907"/>
      <c r="K99" s="1907"/>
      <c r="L99" s="1907"/>
      <c r="M99" s="1907"/>
      <c r="N99" s="1907"/>
      <c r="O99" s="1908"/>
    </row>
    <row r="101" spans="2:15" x14ac:dyDescent="0.3">
      <c r="B101" s="1899" t="s">
        <v>1121</v>
      </c>
      <c r="C101" s="1899"/>
      <c r="D101" s="294"/>
      <c r="E101" s="14"/>
      <c r="F101" s="14"/>
      <c r="G101" s="14"/>
      <c r="H101" s="14"/>
      <c r="I101" s="14"/>
      <c r="J101" s="14"/>
      <c r="K101" s="14"/>
      <c r="L101" s="14"/>
    </row>
    <row r="103" spans="2:15" ht="56" x14ac:dyDescent="0.3">
      <c r="B103" s="1600" t="s">
        <v>340</v>
      </c>
      <c r="C103" s="1600" t="s">
        <v>556</v>
      </c>
      <c r="D103" s="1600" t="s">
        <v>567</v>
      </c>
      <c r="E103" s="288" t="s">
        <v>638</v>
      </c>
      <c r="F103" s="1593" t="s">
        <v>557</v>
      </c>
      <c r="G103" s="1593"/>
      <c r="H103" s="1593"/>
      <c r="I103" s="1593"/>
      <c r="J103" s="1593"/>
      <c r="K103" s="1593" t="s">
        <v>561</v>
      </c>
      <c r="L103" s="1593"/>
      <c r="M103" s="1593"/>
      <c r="N103" s="1593" t="s">
        <v>740</v>
      </c>
      <c r="O103" s="1593" t="s">
        <v>566</v>
      </c>
    </row>
    <row r="104" spans="2:15" ht="28" x14ac:dyDescent="0.3">
      <c r="B104" s="1642"/>
      <c r="C104" s="1642"/>
      <c r="D104" s="1642"/>
      <c r="E104" s="287" t="s">
        <v>640</v>
      </c>
      <c r="F104" s="285" t="s">
        <v>563</v>
      </c>
      <c r="G104" s="285" t="s">
        <v>558</v>
      </c>
      <c r="H104" s="285" t="s">
        <v>642</v>
      </c>
      <c r="I104" s="287" t="s">
        <v>682</v>
      </c>
      <c r="J104" s="287" t="s">
        <v>738</v>
      </c>
      <c r="K104" s="287" t="s">
        <v>562</v>
      </c>
      <c r="L104" s="287" t="s">
        <v>739</v>
      </c>
      <c r="M104" s="287" t="s">
        <v>641</v>
      </c>
      <c r="N104" s="1593"/>
      <c r="O104" s="1593"/>
    </row>
    <row r="105" spans="2:15" x14ac:dyDescent="0.3">
      <c r="B105" s="1893">
        <f>B104+1</f>
        <v>1</v>
      </c>
      <c r="C105" s="1896"/>
      <c r="D105" s="120" t="s">
        <v>279</v>
      </c>
      <c r="E105" s="1900" t="s">
        <v>773</v>
      </c>
      <c r="F105" s="1901"/>
      <c r="G105" s="1901"/>
      <c r="H105" s="1901"/>
      <c r="I105" s="1901"/>
      <c r="J105" s="1901"/>
      <c r="K105" s="1901"/>
      <c r="L105" s="1901"/>
      <c r="M105" s="1901"/>
      <c r="N105" s="1901"/>
      <c r="O105" s="1902"/>
    </row>
    <row r="106" spans="2:15" x14ac:dyDescent="0.3">
      <c r="B106" s="1894"/>
      <c r="C106" s="1897"/>
      <c r="D106" s="120" t="s">
        <v>280</v>
      </c>
      <c r="E106" s="1903"/>
      <c r="F106" s="1904"/>
      <c r="G106" s="1904"/>
      <c r="H106" s="1904"/>
      <c r="I106" s="1904"/>
      <c r="J106" s="1904"/>
      <c r="K106" s="1904"/>
      <c r="L106" s="1904"/>
      <c r="M106" s="1904"/>
      <c r="N106" s="1904"/>
      <c r="O106" s="1905"/>
    </row>
    <row r="107" spans="2:15" x14ac:dyDescent="0.3">
      <c r="B107" s="1894"/>
      <c r="C107" s="1897"/>
      <c r="D107" s="120" t="s">
        <v>281</v>
      </c>
      <c r="E107" s="1903"/>
      <c r="F107" s="1904"/>
      <c r="G107" s="1904"/>
      <c r="H107" s="1904"/>
      <c r="I107" s="1904"/>
      <c r="J107" s="1904"/>
      <c r="K107" s="1904"/>
      <c r="L107" s="1904"/>
      <c r="M107" s="1904"/>
      <c r="N107" s="1904"/>
      <c r="O107" s="1905"/>
    </row>
    <row r="108" spans="2:15" x14ac:dyDescent="0.3">
      <c r="B108" s="1894"/>
      <c r="C108" s="1897"/>
      <c r="D108" s="120" t="s">
        <v>568</v>
      </c>
      <c r="E108" s="1903"/>
      <c r="F108" s="1904"/>
      <c r="G108" s="1904"/>
      <c r="H108" s="1904"/>
      <c r="I108" s="1904"/>
      <c r="J108" s="1904"/>
      <c r="K108" s="1904"/>
      <c r="L108" s="1904"/>
      <c r="M108" s="1904"/>
      <c r="N108" s="1904"/>
      <c r="O108" s="1905"/>
    </row>
    <row r="109" spans="2:15" x14ac:dyDescent="0.3">
      <c r="B109" s="1894"/>
      <c r="C109" s="1897"/>
      <c r="D109" s="120" t="s">
        <v>283</v>
      </c>
      <c r="E109" s="1903"/>
      <c r="F109" s="1904"/>
      <c r="G109" s="1904"/>
      <c r="H109" s="1904"/>
      <c r="I109" s="1904"/>
      <c r="J109" s="1904"/>
      <c r="K109" s="1904"/>
      <c r="L109" s="1904"/>
      <c r="M109" s="1904"/>
      <c r="N109" s="1904"/>
      <c r="O109" s="1905"/>
    </row>
    <row r="110" spans="2:15" x14ac:dyDescent="0.3">
      <c r="B110" s="1894"/>
      <c r="C110" s="1897"/>
      <c r="D110" s="120" t="s">
        <v>284</v>
      </c>
      <c r="E110" s="1903"/>
      <c r="F110" s="1904"/>
      <c r="G110" s="1904"/>
      <c r="H110" s="1904"/>
      <c r="I110" s="1904"/>
      <c r="J110" s="1904"/>
      <c r="K110" s="1904"/>
      <c r="L110" s="1904"/>
      <c r="M110" s="1904"/>
      <c r="N110" s="1904"/>
      <c r="O110" s="1905"/>
    </row>
    <row r="111" spans="2:15" x14ac:dyDescent="0.3">
      <c r="B111" s="1894"/>
      <c r="C111" s="1897"/>
      <c r="D111" s="120" t="s">
        <v>285</v>
      </c>
      <c r="E111" s="1903"/>
      <c r="F111" s="1904"/>
      <c r="G111" s="1904"/>
      <c r="H111" s="1904"/>
      <c r="I111" s="1904"/>
      <c r="J111" s="1904"/>
      <c r="K111" s="1904"/>
      <c r="L111" s="1904"/>
      <c r="M111" s="1904"/>
      <c r="N111" s="1904"/>
      <c r="O111" s="1905"/>
    </row>
    <row r="112" spans="2:15" x14ac:dyDescent="0.3">
      <c r="B112" s="1894"/>
      <c r="C112" s="1897"/>
      <c r="D112" s="120" t="s">
        <v>569</v>
      </c>
      <c r="E112" s="1903"/>
      <c r="F112" s="1904"/>
      <c r="G112" s="1904"/>
      <c r="H112" s="1904"/>
      <c r="I112" s="1904"/>
      <c r="J112" s="1904"/>
      <c r="K112" s="1904"/>
      <c r="L112" s="1904"/>
      <c r="M112" s="1904"/>
      <c r="N112" s="1904"/>
      <c r="O112" s="1905"/>
    </row>
    <row r="113" spans="2:15" x14ac:dyDescent="0.3">
      <c r="B113" s="1894"/>
      <c r="C113" s="1897"/>
      <c r="D113" s="120" t="s">
        <v>287</v>
      </c>
      <c r="E113" s="1903"/>
      <c r="F113" s="1904"/>
      <c r="G113" s="1904"/>
      <c r="H113" s="1904"/>
      <c r="I113" s="1904"/>
      <c r="J113" s="1904"/>
      <c r="K113" s="1904"/>
      <c r="L113" s="1904"/>
      <c r="M113" s="1904"/>
      <c r="N113" s="1904"/>
      <c r="O113" s="1905"/>
    </row>
    <row r="114" spans="2:15" x14ac:dyDescent="0.3">
      <c r="B114" s="1894"/>
      <c r="C114" s="1897"/>
      <c r="D114" s="120" t="s">
        <v>288</v>
      </c>
      <c r="E114" s="1903"/>
      <c r="F114" s="1904"/>
      <c r="G114" s="1904"/>
      <c r="H114" s="1904"/>
      <c r="I114" s="1904"/>
      <c r="J114" s="1904"/>
      <c r="K114" s="1904"/>
      <c r="L114" s="1904"/>
      <c r="M114" s="1904"/>
      <c r="N114" s="1904"/>
      <c r="O114" s="1905"/>
    </row>
    <row r="115" spans="2:15" x14ac:dyDescent="0.3">
      <c r="B115" s="1894"/>
      <c r="C115" s="1897"/>
      <c r="D115" s="120" t="s">
        <v>289</v>
      </c>
      <c r="E115" s="1903"/>
      <c r="F115" s="1904"/>
      <c r="G115" s="1904"/>
      <c r="H115" s="1904"/>
      <c r="I115" s="1904"/>
      <c r="J115" s="1904"/>
      <c r="K115" s="1904"/>
      <c r="L115" s="1904"/>
      <c r="M115" s="1904"/>
      <c r="N115" s="1904"/>
      <c r="O115" s="1905"/>
    </row>
    <row r="116" spans="2:15" x14ac:dyDescent="0.3">
      <c r="B116" s="1895"/>
      <c r="C116" s="1898"/>
      <c r="D116" s="120" t="s">
        <v>290</v>
      </c>
      <c r="E116" s="1903"/>
      <c r="F116" s="1904"/>
      <c r="G116" s="1904"/>
      <c r="H116" s="1904"/>
      <c r="I116" s="1904"/>
      <c r="J116" s="1904"/>
      <c r="K116" s="1904"/>
      <c r="L116" s="1904"/>
      <c r="M116" s="1904"/>
      <c r="N116" s="1904"/>
      <c r="O116" s="1905"/>
    </row>
    <row r="117" spans="2:15" x14ac:dyDescent="0.3">
      <c r="B117" s="1893">
        <f>B105+1</f>
        <v>2</v>
      </c>
      <c r="C117" s="1896"/>
      <c r="D117" s="120" t="s">
        <v>279</v>
      </c>
      <c r="E117" s="1903"/>
      <c r="F117" s="1904"/>
      <c r="G117" s="1904"/>
      <c r="H117" s="1904"/>
      <c r="I117" s="1904"/>
      <c r="J117" s="1904"/>
      <c r="K117" s="1904"/>
      <c r="L117" s="1904"/>
      <c r="M117" s="1904"/>
      <c r="N117" s="1904"/>
      <c r="O117" s="1905"/>
    </row>
    <row r="118" spans="2:15" x14ac:dyDescent="0.3">
      <c r="B118" s="1894"/>
      <c r="C118" s="1897"/>
      <c r="D118" s="120" t="s">
        <v>280</v>
      </c>
      <c r="E118" s="1903"/>
      <c r="F118" s="1904"/>
      <c r="G118" s="1904"/>
      <c r="H118" s="1904"/>
      <c r="I118" s="1904"/>
      <c r="J118" s="1904"/>
      <c r="K118" s="1904"/>
      <c r="L118" s="1904"/>
      <c r="M118" s="1904"/>
      <c r="N118" s="1904"/>
      <c r="O118" s="1905"/>
    </row>
    <row r="119" spans="2:15" x14ac:dyDescent="0.3">
      <c r="B119" s="1894"/>
      <c r="C119" s="1897"/>
      <c r="D119" s="120" t="s">
        <v>281</v>
      </c>
      <c r="E119" s="1903"/>
      <c r="F119" s="1904"/>
      <c r="G119" s="1904"/>
      <c r="H119" s="1904"/>
      <c r="I119" s="1904"/>
      <c r="J119" s="1904"/>
      <c r="K119" s="1904"/>
      <c r="L119" s="1904"/>
      <c r="M119" s="1904"/>
      <c r="N119" s="1904"/>
      <c r="O119" s="1905"/>
    </row>
    <row r="120" spans="2:15" x14ac:dyDescent="0.3">
      <c r="B120" s="1894"/>
      <c r="C120" s="1897"/>
      <c r="D120" s="120" t="s">
        <v>568</v>
      </c>
      <c r="E120" s="1903"/>
      <c r="F120" s="1904"/>
      <c r="G120" s="1904"/>
      <c r="H120" s="1904"/>
      <c r="I120" s="1904"/>
      <c r="J120" s="1904"/>
      <c r="K120" s="1904"/>
      <c r="L120" s="1904"/>
      <c r="M120" s="1904"/>
      <c r="N120" s="1904"/>
      <c r="O120" s="1905"/>
    </row>
    <row r="121" spans="2:15" x14ac:dyDescent="0.3">
      <c r="B121" s="1894"/>
      <c r="C121" s="1897"/>
      <c r="D121" s="120" t="s">
        <v>283</v>
      </c>
      <c r="E121" s="1903"/>
      <c r="F121" s="1904"/>
      <c r="G121" s="1904"/>
      <c r="H121" s="1904"/>
      <c r="I121" s="1904"/>
      <c r="J121" s="1904"/>
      <c r="K121" s="1904"/>
      <c r="L121" s="1904"/>
      <c r="M121" s="1904"/>
      <c r="N121" s="1904"/>
      <c r="O121" s="1905"/>
    </row>
    <row r="122" spans="2:15" x14ac:dyDescent="0.3">
      <c r="B122" s="1894"/>
      <c r="C122" s="1897"/>
      <c r="D122" s="120" t="s">
        <v>284</v>
      </c>
      <c r="E122" s="1903"/>
      <c r="F122" s="1904"/>
      <c r="G122" s="1904"/>
      <c r="H122" s="1904"/>
      <c r="I122" s="1904"/>
      <c r="J122" s="1904"/>
      <c r="K122" s="1904"/>
      <c r="L122" s="1904"/>
      <c r="M122" s="1904"/>
      <c r="N122" s="1904"/>
      <c r="O122" s="1905"/>
    </row>
    <row r="123" spans="2:15" x14ac:dyDescent="0.3">
      <c r="B123" s="1894"/>
      <c r="C123" s="1897"/>
      <c r="D123" s="120" t="s">
        <v>285</v>
      </c>
      <c r="E123" s="1903"/>
      <c r="F123" s="1904"/>
      <c r="G123" s="1904"/>
      <c r="H123" s="1904"/>
      <c r="I123" s="1904"/>
      <c r="J123" s="1904"/>
      <c r="K123" s="1904"/>
      <c r="L123" s="1904"/>
      <c r="M123" s="1904"/>
      <c r="N123" s="1904"/>
      <c r="O123" s="1905"/>
    </row>
    <row r="124" spans="2:15" x14ac:dyDescent="0.3">
      <c r="B124" s="1894"/>
      <c r="C124" s="1897"/>
      <c r="D124" s="120" t="s">
        <v>569</v>
      </c>
      <c r="E124" s="1903"/>
      <c r="F124" s="1904"/>
      <c r="G124" s="1904"/>
      <c r="H124" s="1904"/>
      <c r="I124" s="1904"/>
      <c r="J124" s="1904"/>
      <c r="K124" s="1904"/>
      <c r="L124" s="1904"/>
      <c r="M124" s="1904"/>
      <c r="N124" s="1904"/>
      <c r="O124" s="1905"/>
    </row>
    <row r="125" spans="2:15" x14ac:dyDescent="0.3">
      <c r="B125" s="1894"/>
      <c r="C125" s="1897"/>
      <c r="D125" s="120" t="s">
        <v>287</v>
      </c>
      <c r="E125" s="1903"/>
      <c r="F125" s="1904"/>
      <c r="G125" s="1904"/>
      <c r="H125" s="1904"/>
      <c r="I125" s="1904"/>
      <c r="J125" s="1904"/>
      <c r="K125" s="1904"/>
      <c r="L125" s="1904"/>
      <c r="M125" s="1904"/>
      <c r="N125" s="1904"/>
      <c r="O125" s="1905"/>
    </row>
    <row r="126" spans="2:15" x14ac:dyDescent="0.3">
      <c r="B126" s="1894"/>
      <c r="C126" s="1897"/>
      <c r="D126" s="120" t="s">
        <v>288</v>
      </c>
      <c r="E126" s="1903"/>
      <c r="F126" s="1904"/>
      <c r="G126" s="1904"/>
      <c r="H126" s="1904"/>
      <c r="I126" s="1904"/>
      <c r="J126" s="1904"/>
      <c r="K126" s="1904"/>
      <c r="L126" s="1904"/>
      <c r="M126" s="1904"/>
      <c r="N126" s="1904"/>
      <c r="O126" s="1905"/>
    </row>
    <row r="127" spans="2:15" x14ac:dyDescent="0.3">
      <c r="B127" s="1894"/>
      <c r="C127" s="1897"/>
      <c r="D127" s="120" t="s">
        <v>289</v>
      </c>
      <c r="E127" s="1903"/>
      <c r="F127" s="1904"/>
      <c r="G127" s="1904"/>
      <c r="H127" s="1904"/>
      <c r="I127" s="1904"/>
      <c r="J127" s="1904"/>
      <c r="K127" s="1904"/>
      <c r="L127" s="1904"/>
      <c r="M127" s="1904"/>
      <c r="N127" s="1904"/>
      <c r="O127" s="1905"/>
    </row>
    <row r="128" spans="2:15" x14ac:dyDescent="0.3">
      <c r="B128" s="1895"/>
      <c r="C128" s="1898"/>
      <c r="D128" s="120" t="s">
        <v>290</v>
      </c>
      <c r="E128" s="1903"/>
      <c r="F128" s="1904"/>
      <c r="G128" s="1904"/>
      <c r="H128" s="1904"/>
      <c r="I128" s="1904"/>
      <c r="J128" s="1904"/>
      <c r="K128" s="1904"/>
      <c r="L128" s="1904"/>
      <c r="M128" s="1904"/>
      <c r="N128" s="1904"/>
      <c r="O128" s="1905"/>
    </row>
    <row r="129" spans="2:15" x14ac:dyDescent="0.3">
      <c r="B129" s="94">
        <v>3</v>
      </c>
      <c r="C129" s="119"/>
      <c r="D129" s="119"/>
      <c r="E129" s="1903"/>
      <c r="F129" s="1904"/>
      <c r="G129" s="1904"/>
      <c r="H129" s="1904"/>
      <c r="I129" s="1904"/>
      <c r="J129" s="1904"/>
      <c r="K129" s="1904"/>
      <c r="L129" s="1904"/>
      <c r="M129" s="1904"/>
      <c r="N129" s="1904"/>
      <c r="O129" s="1905"/>
    </row>
    <row r="130" spans="2:15" x14ac:dyDescent="0.3">
      <c r="B130" s="94" t="s">
        <v>474</v>
      </c>
      <c r="C130" s="121"/>
      <c r="D130" s="121"/>
      <c r="E130" s="1906"/>
      <c r="F130" s="1907"/>
      <c r="G130" s="1907"/>
      <c r="H130" s="1907"/>
      <c r="I130" s="1907"/>
      <c r="J130" s="1907"/>
      <c r="K130" s="1907"/>
      <c r="L130" s="1907"/>
      <c r="M130" s="1907"/>
      <c r="N130" s="1907"/>
      <c r="O130" s="1908"/>
    </row>
    <row r="132" spans="2:15" x14ac:dyDescent="0.3">
      <c r="B132" s="247" t="s">
        <v>736</v>
      </c>
    </row>
    <row r="135" spans="2:15" x14ac:dyDescent="0.3">
      <c r="B135" s="1899" t="s">
        <v>1122</v>
      </c>
      <c r="C135" s="1899"/>
      <c r="D135" s="248"/>
      <c r="E135" s="14"/>
      <c r="F135" s="14"/>
      <c r="G135" s="14"/>
      <c r="H135" s="14"/>
      <c r="I135" s="14"/>
      <c r="J135" s="14"/>
      <c r="K135" s="14"/>
      <c r="L135" s="14"/>
    </row>
    <row r="137" spans="2:15" ht="56" x14ac:dyDescent="0.3">
      <c r="B137" s="1600" t="s">
        <v>340</v>
      </c>
      <c r="C137" s="1600" t="s">
        <v>556</v>
      </c>
      <c r="D137" s="1600" t="s">
        <v>567</v>
      </c>
      <c r="E137" s="251" t="s">
        <v>638</v>
      </c>
      <c r="F137" s="1593" t="s">
        <v>557</v>
      </c>
      <c r="G137" s="1593"/>
      <c r="H137" s="1593"/>
      <c r="I137" s="1593"/>
      <c r="J137" s="1593"/>
      <c r="K137" s="1593" t="s">
        <v>561</v>
      </c>
      <c r="L137" s="1593"/>
      <c r="M137" s="1593"/>
      <c r="N137" s="1593" t="s">
        <v>565</v>
      </c>
      <c r="O137" s="1593" t="s">
        <v>566</v>
      </c>
    </row>
    <row r="138" spans="2:15" ht="28" x14ac:dyDescent="0.3">
      <c r="B138" s="1642"/>
      <c r="C138" s="1642"/>
      <c r="D138" s="1642"/>
      <c r="E138" s="250" t="s">
        <v>640</v>
      </c>
      <c r="F138" s="249" t="s">
        <v>563</v>
      </c>
      <c r="G138" s="249" t="s">
        <v>558</v>
      </c>
      <c r="H138" s="249" t="s">
        <v>642</v>
      </c>
      <c r="I138" s="250" t="s">
        <v>559</v>
      </c>
      <c r="J138" s="250" t="s">
        <v>560</v>
      </c>
      <c r="K138" s="250" t="s">
        <v>562</v>
      </c>
      <c r="L138" s="250" t="s">
        <v>564</v>
      </c>
      <c r="M138" s="250" t="s">
        <v>641</v>
      </c>
      <c r="N138" s="1593"/>
      <c r="O138" s="1593"/>
    </row>
    <row r="139" spans="2:15" x14ac:dyDescent="0.3">
      <c r="B139" s="1893">
        <f>B138+1</f>
        <v>1</v>
      </c>
      <c r="C139" s="1896"/>
      <c r="D139" s="120" t="s">
        <v>279</v>
      </c>
      <c r="E139" s="1900" t="s">
        <v>773</v>
      </c>
      <c r="F139" s="1901"/>
      <c r="G139" s="1901"/>
      <c r="H139" s="1901"/>
      <c r="I139" s="1901"/>
      <c r="J139" s="1901"/>
      <c r="K139" s="1901"/>
      <c r="L139" s="1901"/>
      <c r="M139" s="1901"/>
      <c r="N139" s="1901"/>
      <c r="O139" s="1902"/>
    </row>
    <row r="140" spans="2:15" x14ac:dyDescent="0.3">
      <c r="B140" s="1894"/>
      <c r="C140" s="1897"/>
      <c r="D140" s="120" t="s">
        <v>280</v>
      </c>
      <c r="E140" s="1903"/>
      <c r="F140" s="1904"/>
      <c r="G140" s="1904"/>
      <c r="H140" s="1904"/>
      <c r="I140" s="1904"/>
      <c r="J140" s="1904"/>
      <c r="K140" s="1904"/>
      <c r="L140" s="1904"/>
      <c r="M140" s="1904"/>
      <c r="N140" s="1904"/>
      <c r="O140" s="1905"/>
    </row>
    <row r="141" spans="2:15" x14ac:dyDescent="0.3">
      <c r="B141" s="1894"/>
      <c r="C141" s="1897"/>
      <c r="D141" s="120" t="s">
        <v>281</v>
      </c>
      <c r="E141" s="1903"/>
      <c r="F141" s="1904"/>
      <c r="G141" s="1904"/>
      <c r="H141" s="1904"/>
      <c r="I141" s="1904"/>
      <c r="J141" s="1904"/>
      <c r="K141" s="1904"/>
      <c r="L141" s="1904"/>
      <c r="M141" s="1904"/>
      <c r="N141" s="1904"/>
      <c r="O141" s="1905"/>
    </row>
    <row r="142" spans="2:15" x14ac:dyDescent="0.3">
      <c r="B142" s="1894"/>
      <c r="C142" s="1897"/>
      <c r="D142" s="120" t="s">
        <v>568</v>
      </c>
      <c r="E142" s="1903"/>
      <c r="F142" s="1904"/>
      <c r="G142" s="1904"/>
      <c r="H142" s="1904"/>
      <c r="I142" s="1904"/>
      <c r="J142" s="1904"/>
      <c r="K142" s="1904"/>
      <c r="L142" s="1904"/>
      <c r="M142" s="1904"/>
      <c r="N142" s="1904"/>
      <c r="O142" s="1905"/>
    </row>
    <row r="143" spans="2:15" x14ac:dyDescent="0.3">
      <c r="B143" s="1894"/>
      <c r="C143" s="1897"/>
      <c r="D143" s="120" t="s">
        <v>283</v>
      </c>
      <c r="E143" s="1903"/>
      <c r="F143" s="1904"/>
      <c r="G143" s="1904"/>
      <c r="H143" s="1904"/>
      <c r="I143" s="1904"/>
      <c r="J143" s="1904"/>
      <c r="K143" s="1904"/>
      <c r="L143" s="1904"/>
      <c r="M143" s="1904"/>
      <c r="N143" s="1904"/>
      <c r="O143" s="1905"/>
    </row>
    <row r="144" spans="2:15" x14ac:dyDescent="0.3">
      <c r="B144" s="1894"/>
      <c r="C144" s="1897"/>
      <c r="D144" s="120" t="s">
        <v>284</v>
      </c>
      <c r="E144" s="1903"/>
      <c r="F144" s="1904"/>
      <c r="G144" s="1904"/>
      <c r="H144" s="1904"/>
      <c r="I144" s="1904"/>
      <c r="J144" s="1904"/>
      <c r="K144" s="1904"/>
      <c r="L144" s="1904"/>
      <c r="M144" s="1904"/>
      <c r="N144" s="1904"/>
      <c r="O144" s="1905"/>
    </row>
    <row r="145" spans="2:15" x14ac:dyDescent="0.3">
      <c r="B145" s="1894"/>
      <c r="C145" s="1897"/>
      <c r="D145" s="120" t="s">
        <v>285</v>
      </c>
      <c r="E145" s="1903"/>
      <c r="F145" s="1904"/>
      <c r="G145" s="1904"/>
      <c r="H145" s="1904"/>
      <c r="I145" s="1904"/>
      <c r="J145" s="1904"/>
      <c r="K145" s="1904"/>
      <c r="L145" s="1904"/>
      <c r="M145" s="1904"/>
      <c r="N145" s="1904"/>
      <c r="O145" s="1905"/>
    </row>
    <row r="146" spans="2:15" x14ac:dyDescent="0.3">
      <c r="B146" s="1894"/>
      <c r="C146" s="1897"/>
      <c r="D146" s="120" t="s">
        <v>569</v>
      </c>
      <c r="E146" s="1903"/>
      <c r="F146" s="1904"/>
      <c r="G146" s="1904"/>
      <c r="H146" s="1904"/>
      <c r="I146" s="1904"/>
      <c r="J146" s="1904"/>
      <c r="K146" s="1904"/>
      <c r="L146" s="1904"/>
      <c r="M146" s="1904"/>
      <c r="N146" s="1904"/>
      <c r="O146" s="1905"/>
    </row>
    <row r="147" spans="2:15" x14ac:dyDescent="0.3">
      <c r="B147" s="1894"/>
      <c r="C147" s="1897"/>
      <c r="D147" s="120" t="s">
        <v>287</v>
      </c>
      <c r="E147" s="1903"/>
      <c r="F147" s="1904"/>
      <c r="G147" s="1904"/>
      <c r="H147" s="1904"/>
      <c r="I147" s="1904"/>
      <c r="J147" s="1904"/>
      <c r="K147" s="1904"/>
      <c r="L147" s="1904"/>
      <c r="M147" s="1904"/>
      <c r="N147" s="1904"/>
      <c r="O147" s="1905"/>
    </row>
    <row r="148" spans="2:15" x14ac:dyDescent="0.3">
      <c r="B148" s="1894"/>
      <c r="C148" s="1897"/>
      <c r="D148" s="120" t="s">
        <v>288</v>
      </c>
      <c r="E148" s="1903"/>
      <c r="F148" s="1904"/>
      <c r="G148" s="1904"/>
      <c r="H148" s="1904"/>
      <c r="I148" s="1904"/>
      <c r="J148" s="1904"/>
      <c r="K148" s="1904"/>
      <c r="L148" s="1904"/>
      <c r="M148" s="1904"/>
      <c r="N148" s="1904"/>
      <c r="O148" s="1905"/>
    </row>
    <row r="149" spans="2:15" x14ac:dyDescent="0.3">
      <c r="B149" s="1894"/>
      <c r="C149" s="1897"/>
      <c r="D149" s="120" t="s">
        <v>289</v>
      </c>
      <c r="E149" s="1903"/>
      <c r="F149" s="1904"/>
      <c r="G149" s="1904"/>
      <c r="H149" s="1904"/>
      <c r="I149" s="1904"/>
      <c r="J149" s="1904"/>
      <c r="K149" s="1904"/>
      <c r="L149" s="1904"/>
      <c r="M149" s="1904"/>
      <c r="N149" s="1904"/>
      <c r="O149" s="1905"/>
    </row>
    <row r="150" spans="2:15" x14ac:dyDescent="0.3">
      <c r="B150" s="1895"/>
      <c r="C150" s="1898"/>
      <c r="D150" s="120" t="s">
        <v>290</v>
      </c>
      <c r="E150" s="1903"/>
      <c r="F150" s="1904"/>
      <c r="G150" s="1904"/>
      <c r="H150" s="1904"/>
      <c r="I150" s="1904"/>
      <c r="J150" s="1904"/>
      <c r="K150" s="1904"/>
      <c r="L150" s="1904"/>
      <c r="M150" s="1904"/>
      <c r="N150" s="1904"/>
      <c r="O150" s="1905"/>
    </row>
    <row r="151" spans="2:15" x14ac:dyDescent="0.3">
      <c r="B151" s="1893">
        <f>B139+1</f>
        <v>2</v>
      </c>
      <c r="C151" s="1896"/>
      <c r="D151" s="120" t="s">
        <v>279</v>
      </c>
      <c r="E151" s="1903"/>
      <c r="F151" s="1904"/>
      <c r="G151" s="1904"/>
      <c r="H151" s="1904"/>
      <c r="I151" s="1904"/>
      <c r="J151" s="1904"/>
      <c r="K151" s="1904"/>
      <c r="L151" s="1904"/>
      <c r="M151" s="1904"/>
      <c r="N151" s="1904"/>
      <c r="O151" s="1905"/>
    </row>
    <row r="152" spans="2:15" x14ac:dyDescent="0.3">
      <c r="B152" s="1894"/>
      <c r="C152" s="1897"/>
      <c r="D152" s="120" t="s">
        <v>280</v>
      </c>
      <c r="E152" s="1903"/>
      <c r="F152" s="1904"/>
      <c r="G152" s="1904"/>
      <c r="H152" s="1904"/>
      <c r="I152" s="1904"/>
      <c r="J152" s="1904"/>
      <c r="K152" s="1904"/>
      <c r="L152" s="1904"/>
      <c r="M152" s="1904"/>
      <c r="N152" s="1904"/>
      <c r="O152" s="1905"/>
    </row>
    <row r="153" spans="2:15" x14ac:dyDescent="0.3">
      <c r="B153" s="1894"/>
      <c r="C153" s="1897"/>
      <c r="D153" s="120" t="s">
        <v>281</v>
      </c>
      <c r="E153" s="1903"/>
      <c r="F153" s="1904"/>
      <c r="G153" s="1904"/>
      <c r="H153" s="1904"/>
      <c r="I153" s="1904"/>
      <c r="J153" s="1904"/>
      <c r="K153" s="1904"/>
      <c r="L153" s="1904"/>
      <c r="M153" s="1904"/>
      <c r="N153" s="1904"/>
      <c r="O153" s="1905"/>
    </row>
    <row r="154" spans="2:15" x14ac:dyDescent="0.3">
      <c r="B154" s="1894"/>
      <c r="C154" s="1897"/>
      <c r="D154" s="120" t="s">
        <v>568</v>
      </c>
      <c r="E154" s="1903"/>
      <c r="F154" s="1904"/>
      <c r="G154" s="1904"/>
      <c r="H154" s="1904"/>
      <c r="I154" s="1904"/>
      <c r="J154" s="1904"/>
      <c r="K154" s="1904"/>
      <c r="L154" s="1904"/>
      <c r="M154" s="1904"/>
      <c r="N154" s="1904"/>
      <c r="O154" s="1905"/>
    </row>
    <row r="155" spans="2:15" x14ac:dyDescent="0.3">
      <c r="B155" s="1894"/>
      <c r="C155" s="1897"/>
      <c r="D155" s="120" t="s">
        <v>283</v>
      </c>
      <c r="E155" s="1903"/>
      <c r="F155" s="1904"/>
      <c r="G155" s="1904"/>
      <c r="H155" s="1904"/>
      <c r="I155" s="1904"/>
      <c r="J155" s="1904"/>
      <c r="K155" s="1904"/>
      <c r="L155" s="1904"/>
      <c r="M155" s="1904"/>
      <c r="N155" s="1904"/>
      <c r="O155" s="1905"/>
    </row>
    <row r="156" spans="2:15" x14ac:dyDescent="0.3">
      <c r="B156" s="1894"/>
      <c r="C156" s="1897"/>
      <c r="D156" s="120" t="s">
        <v>284</v>
      </c>
      <c r="E156" s="1903"/>
      <c r="F156" s="1904"/>
      <c r="G156" s="1904"/>
      <c r="H156" s="1904"/>
      <c r="I156" s="1904"/>
      <c r="J156" s="1904"/>
      <c r="K156" s="1904"/>
      <c r="L156" s="1904"/>
      <c r="M156" s="1904"/>
      <c r="N156" s="1904"/>
      <c r="O156" s="1905"/>
    </row>
    <row r="157" spans="2:15" x14ac:dyDescent="0.3">
      <c r="B157" s="1894"/>
      <c r="C157" s="1897"/>
      <c r="D157" s="120" t="s">
        <v>285</v>
      </c>
      <c r="E157" s="1903"/>
      <c r="F157" s="1904"/>
      <c r="G157" s="1904"/>
      <c r="H157" s="1904"/>
      <c r="I157" s="1904"/>
      <c r="J157" s="1904"/>
      <c r="K157" s="1904"/>
      <c r="L157" s="1904"/>
      <c r="M157" s="1904"/>
      <c r="N157" s="1904"/>
      <c r="O157" s="1905"/>
    </row>
    <row r="158" spans="2:15" x14ac:dyDescent="0.3">
      <c r="B158" s="1894"/>
      <c r="C158" s="1897"/>
      <c r="D158" s="120" t="s">
        <v>569</v>
      </c>
      <c r="E158" s="1903"/>
      <c r="F158" s="1904"/>
      <c r="G158" s="1904"/>
      <c r="H158" s="1904"/>
      <c r="I158" s="1904"/>
      <c r="J158" s="1904"/>
      <c r="K158" s="1904"/>
      <c r="L158" s="1904"/>
      <c r="M158" s="1904"/>
      <c r="N158" s="1904"/>
      <c r="O158" s="1905"/>
    </row>
    <row r="159" spans="2:15" x14ac:dyDescent="0.3">
      <c r="B159" s="1894"/>
      <c r="C159" s="1897"/>
      <c r="D159" s="120" t="s">
        <v>287</v>
      </c>
      <c r="E159" s="1903"/>
      <c r="F159" s="1904"/>
      <c r="G159" s="1904"/>
      <c r="H159" s="1904"/>
      <c r="I159" s="1904"/>
      <c r="J159" s="1904"/>
      <c r="K159" s="1904"/>
      <c r="L159" s="1904"/>
      <c r="M159" s="1904"/>
      <c r="N159" s="1904"/>
      <c r="O159" s="1905"/>
    </row>
    <row r="160" spans="2:15" x14ac:dyDescent="0.3">
      <c r="B160" s="1894"/>
      <c r="C160" s="1897"/>
      <c r="D160" s="120" t="s">
        <v>288</v>
      </c>
      <c r="E160" s="1903"/>
      <c r="F160" s="1904"/>
      <c r="G160" s="1904"/>
      <c r="H160" s="1904"/>
      <c r="I160" s="1904"/>
      <c r="J160" s="1904"/>
      <c r="K160" s="1904"/>
      <c r="L160" s="1904"/>
      <c r="M160" s="1904"/>
      <c r="N160" s="1904"/>
      <c r="O160" s="1905"/>
    </row>
    <row r="161" spans="2:15" x14ac:dyDescent="0.3">
      <c r="B161" s="1894"/>
      <c r="C161" s="1897"/>
      <c r="D161" s="120" t="s">
        <v>289</v>
      </c>
      <c r="E161" s="1903"/>
      <c r="F161" s="1904"/>
      <c r="G161" s="1904"/>
      <c r="H161" s="1904"/>
      <c r="I161" s="1904"/>
      <c r="J161" s="1904"/>
      <c r="K161" s="1904"/>
      <c r="L161" s="1904"/>
      <c r="M161" s="1904"/>
      <c r="N161" s="1904"/>
      <c r="O161" s="1905"/>
    </row>
    <row r="162" spans="2:15" x14ac:dyDescent="0.3">
      <c r="B162" s="1895"/>
      <c r="C162" s="1898"/>
      <c r="D162" s="120" t="s">
        <v>290</v>
      </c>
      <c r="E162" s="1903"/>
      <c r="F162" s="1904"/>
      <c r="G162" s="1904"/>
      <c r="H162" s="1904"/>
      <c r="I162" s="1904"/>
      <c r="J162" s="1904"/>
      <c r="K162" s="1904"/>
      <c r="L162" s="1904"/>
      <c r="M162" s="1904"/>
      <c r="N162" s="1904"/>
      <c r="O162" s="1905"/>
    </row>
    <row r="163" spans="2:15" x14ac:dyDescent="0.3">
      <c r="B163" s="94">
        <v>3</v>
      </c>
      <c r="C163" s="119"/>
      <c r="D163" s="119"/>
      <c r="E163" s="1903"/>
      <c r="F163" s="1904"/>
      <c r="G163" s="1904"/>
      <c r="H163" s="1904"/>
      <c r="I163" s="1904"/>
      <c r="J163" s="1904"/>
      <c r="K163" s="1904"/>
      <c r="L163" s="1904"/>
      <c r="M163" s="1904"/>
      <c r="N163" s="1904"/>
      <c r="O163" s="1905"/>
    </row>
    <row r="164" spans="2:15" x14ac:dyDescent="0.3">
      <c r="B164" s="94" t="s">
        <v>474</v>
      </c>
      <c r="C164" s="121"/>
      <c r="D164" s="121"/>
      <c r="E164" s="1906"/>
      <c r="F164" s="1907"/>
      <c r="G164" s="1907"/>
      <c r="H164" s="1907"/>
      <c r="I164" s="1907"/>
      <c r="J164" s="1907"/>
      <c r="K164" s="1907"/>
      <c r="L164" s="1907"/>
      <c r="M164" s="1907"/>
      <c r="N164" s="1907"/>
      <c r="O164" s="1908"/>
    </row>
    <row r="166" spans="2:15" x14ac:dyDescent="0.3">
      <c r="B166" s="1899" t="s">
        <v>1123</v>
      </c>
      <c r="C166" s="1899"/>
      <c r="D166" s="294"/>
      <c r="E166" s="14"/>
      <c r="F166" s="14"/>
      <c r="G166" s="14"/>
      <c r="H166" s="14"/>
      <c r="I166" s="14"/>
      <c r="J166" s="14"/>
      <c r="K166" s="14"/>
      <c r="L166" s="14"/>
    </row>
    <row r="168" spans="2:15" ht="56" x14ac:dyDescent="0.3">
      <c r="B168" s="1600" t="s">
        <v>340</v>
      </c>
      <c r="C168" s="1600" t="s">
        <v>556</v>
      </c>
      <c r="D168" s="1600" t="s">
        <v>567</v>
      </c>
      <c r="E168" s="288" t="s">
        <v>638</v>
      </c>
      <c r="F168" s="1593" t="s">
        <v>557</v>
      </c>
      <c r="G168" s="1593"/>
      <c r="H168" s="1593"/>
      <c r="I168" s="1593"/>
      <c r="J168" s="1593"/>
      <c r="K168" s="1593" t="s">
        <v>561</v>
      </c>
      <c r="L168" s="1593"/>
      <c r="M168" s="1593"/>
      <c r="N168" s="1593" t="s">
        <v>740</v>
      </c>
      <c r="O168" s="1593" t="s">
        <v>566</v>
      </c>
    </row>
    <row r="169" spans="2:15" ht="28" x14ac:dyDescent="0.3">
      <c r="B169" s="1642"/>
      <c r="C169" s="1642"/>
      <c r="D169" s="1642"/>
      <c r="E169" s="287" t="s">
        <v>640</v>
      </c>
      <c r="F169" s="285" t="s">
        <v>563</v>
      </c>
      <c r="G169" s="285" t="s">
        <v>558</v>
      </c>
      <c r="H169" s="285" t="s">
        <v>642</v>
      </c>
      <c r="I169" s="287" t="s">
        <v>682</v>
      </c>
      <c r="J169" s="287" t="s">
        <v>738</v>
      </c>
      <c r="K169" s="287" t="s">
        <v>562</v>
      </c>
      <c r="L169" s="287" t="s">
        <v>739</v>
      </c>
      <c r="M169" s="287" t="s">
        <v>641</v>
      </c>
      <c r="N169" s="1593"/>
      <c r="O169" s="1593"/>
    </row>
    <row r="170" spans="2:15" x14ac:dyDescent="0.3">
      <c r="B170" s="1893">
        <f>B169+1</f>
        <v>1</v>
      </c>
      <c r="C170" s="1896"/>
      <c r="D170" s="120" t="s">
        <v>279</v>
      </c>
      <c r="E170" s="1909" t="s">
        <v>773</v>
      </c>
      <c r="F170" s="1910"/>
      <c r="G170" s="1910"/>
      <c r="H170" s="1910"/>
      <c r="I170" s="1910"/>
      <c r="J170" s="1910"/>
      <c r="K170" s="1910"/>
      <c r="L170" s="1910"/>
      <c r="M170" s="1910"/>
      <c r="N170" s="1910"/>
      <c r="O170" s="1911"/>
    </row>
    <row r="171" spans="2:15" x14ac:dyDescent="0.3">
      <c r="B171" s="1894"/>
      <c r="C171" s="1897"/>
      <c r="D171" s="120" t="s">
        <v>280</v>
      </c>
      <c r="E171" s="1912"/>
      <c r="F171" s="1913"/>
      <c r="G171" s="1913"/>
      <c r="H171" s="1913"/>
      <c r="I171" s="1913"/>
      <c r="J171" s="1913"/>
      <c r="K171" s="1913"/>
      <c r="L171" s="1913"/>
      <c r="M171" s="1913"/>
      <c r="N171" s="1913"/>
      <c r="O171" s="1914"/>
    </row>
    <row r="172" spans="2:15" x14ac:dyDescent="0.3">
      <c r="B172" s="1894"/>
      <c r="C172" s="1897"/>
      <c r="D172" s="120" t="s">
        <v>281</v>
      </c>
      <c r="E172" s="1912"/>
      <c r="F172" s="1913"/>
      <c r="G172" s="1913"/>
      <c r="H172" s="1913"/>
      <c r="I172" s="1913"/>
      <c r="J172" s="1913"/>
      <c r="K172" s="1913"/>
      <c r="L172" s="1913"/>
      <c r="M172" s="1913"/>
      <c r="N172" s="1913"/>
      <c r="O172" s="1914"/>
    </row>
    <row r="173" spans="2:15" x14ac:dyDescent="0.3">
      <c r="B173" s="1894"/>
      <c r="C173" s="1897"/>
      <c r="D173" s="120" t="s">
        <v>568</v>
      </c>
      <c r="E173" s="1912"/>
      <c r="F173" s="1913"/>
      <c r="G173" s="1913"/>
      <c r="H173" s="1913"/>
      <c r="I173" s="1913"/>
      <c r="J173" s="1913"/>
      <c r="K173" s="1913"/>
      <c r="L173" s="1913"/>
      <c r="M173" s="1913"/>
      <c r="N173" s="1913"/>
      <c r="O173" s="1914"/>
    </row>
    <row r="174" spans="2:15" x14ac:dyDescent="0.3">
      <c r="B174" s="1894"/>
      <c r="C174" s="1897"/>
      <c r="D174" s="120" t="s">
        <v>283</v>
      </c>
      <c r="E174" s="1912"/>
      <c r="F174" s="1913"/>
      <c r="G174" s="1913"/>
      <c r="H174" s="1913"/>
      <c r="I174" s="1913"/>
      <c r="J174" s="1913"/>
      <c r="K174" s="1913"/>
      <c r="L174" s="1913"/>
      <c r="M174" s="1913"/>
      <c r="N174" s="1913"/>
      <c r="O174" s="1914"/>
    </row>
    <row r="175" spans="2:15" x14ac:dyDescent="0.3">
      <c r="B175" s="1894"/>
      <c r="C175" s="1897"/>
      <c r="D175" s="120" t="s">
        <v>284</v>
      </c>
      <c r="E175" s="1912"/>
      <c r="F175" s="1913"/>
      <c r="G175" s="1913"/>
      <c r="H175" s="1913"/>
      <c r="I175" s="1913"/>
      <c r="J175" s="1913"/>
      <c r="K175" s="1913"/>
      <c r="L175" s="1913"/>
      <c r="M175" s="1913"/>
      <c r="N175" s="1913"/>
      <c r="O175" s="1914"/>
    </row>
    <row r="176" spans="2:15" x14ac:dyDescent="0.3">
      <c r="B176" s="1893">
        <f>B170+1</f>
        <v>2</v>
      </c>
      <c r="C176" s="1896"/>
      <c r="D176" s="120" t="s">
        <v>279</v>
      </c>
      <c r="E176" s="1912"/>
      <c r="F176" s="1913"/>
      <c r="G176" s="1913"/>
      <c r="H176" s="1913"/>
      <c r="I176" s="1913"/>
      <c r="J176" s="1913"/>
      <c r="K176" s="1913"/>
      <c r="L176" s="1913"/>
      <c r="M176" s="1913"/>
      <c r="N176" s="1913"/>
      <c r="O176" s="1914"/>
    </row>
    <row r="177" spans="2:15" x14ac:dyDescent="0.3">
      <c r="B177" s="1894"/>
      <c r="C177" s="1897"/>
      <c r="D177" s="120" t="s">
        <v>280</v>
      </c>
      <c r="E177" s="1912"/>
      <c r="F177" s="1913"/>
      <c r="G177" s="1913"/>
      <c r="H177" s="1913"/>
      <c r="I177" s="1913"/>
      <c r="J177" s="1913"/>
      <c r="K177" s="1913"/>
      <c r="L177" s="1913"/>
      <c r="M177" s="1913"/>
      <c r="N177" s="1913"/>
      <c r="O177" s="1914"/>
    </row>
    <row r="178" spans="2:15" x14ac:dyDescent="0.3">
      <c r="B178" s="1894"/>
      <c r="C178" s="1897"/>
      <c r="D178" s="120" t="s">
        <v>281</v>
      </c>
      <c r="E178" s="1912"/>
      <c r="F178" s="1913"/>
      <c r="G178" s="1913"/>
      <c r="H178" s="1913"/>
      <c r="I178" s="1913"/>
      <c r="J178" s="1913"/>
      <c r="K178" s="1913"/>
      <c r="L178" s="1913"/>
      <c r="M178" s="1913"/>
      <c r="N178" s="1913"/>
      <c r="O178" s="1914"/>
    </row>
    <row r="179" spans="2:15" x14ac:dyDescent="0.3">
      <c r="B179" s="1894"/>
      <c r="C179" s="1897"/>
      <c r="D179" s="120" t="s">
        <v>568</v>
      </c>
      <c r="E179" s="1912"/>
      <c r="F179" s="1913"/>
      <c r="G179" s="1913"/>
      <c r="H179" s="1913"/>
      <c r="I179" s="1913"/>
      <c r="J179" s="1913"/>
      <c r="K179" s="1913"/>
      <c r="L179" s="1913"/>
      <c r="M179" s="1913"/>
      <c r="N179" s="1913"/>
      <c r="O179" s="1914"/>
    </row>
    <row r="180" spans="2:15" x14ac:dyDescent="0.3">
      <c r="B180" s="1894"/>
      <c r="C180" s="1897"/>
      <c r="D180" s="120" t="s">
        <v>283</v>
      </c>
      <c r="E180" s="1912"/>
      <c r="F180" s="1913"/>
      <c r="G180" s="1913"/>
      <c r="H180" s="1913"/>
      <c r="I180" s="1913"/>
      <c r="J180" s="1913"/>
      <c r="K180" s="1913"/>
      <c r="L180" s="1913"/>
      <c r="M180" s="1913"/>
      <c r="N180" s="1913"/>
      <c r="O180" s="1914"/>
    </row>
    <row r="181" spans="2:15" x14ac:dyDescent="0.3">
      <c r="B181" s="1894"/>
      <c r="C181" s="1897"/>
      <c r="D181" s="120" t="s">
        <v>284</v>
      </c>
      <c r="E181" s="1912"/>
      <c r="F181" s="1913"/>
      <c r="G181" s="1913"/>
      <c r="H181" s="1913"/>
      <c r="I181" s="1913"/>
      <c r="J181" s="1913"/>
      <c r="K181" s="1913"/>
      <c r="L181" s="1913"/>
      <c r="M181" s="1913"/>
      <c r="N181" s="1913"/>
      <c r="O181" s="1914"/>
    </row>
    <row r="182" spans="2:15" x14ac:dyDescent="0.3">
      <c r="B182" s="94">
        <v>3</v>
      </c>
      <c r="C182" s="119"/>
      <c r="D182" s="119"/>
      <c r="E182" s="1912"/>
      <c r="F182" s="1913"/>
      <c r="G182" s="1913"/>
      <c r="H182" s="1913"/>
      <c r="I182" s="1913"/>
      <c r="J182" s="1913"/>
      <c r="K182" s="1913"/>
      <c r="L182" s="1913"/>
      <c r="M182" s="1913"/>
      <c r="N182" s="1913"/>
      <c r="O182" s="1914"/>
    </row>
    <row r="183" spans="2:15" x14ac:dyDescent="0.3">
      <c r="B183" s="94" t="s">
        <v>474</v>
      </c>
      <c r="C183" s="121"/>
      <c r="D183" s="121"/>
      <c r="E183" s="1915"/>
      <c r="F183" s="1916"/>
      <c r="G183" s="1916"/>
      <c r="H183" s="1916"/>
      <c r="I183" s="1916"/>
      <c r="J183" s="1916"/>
      <c r="K183" s="1916"/>
      <c r="L183" s="1916"/>
      <c r="M183" s="1916"/>
      <c r="N183" s="1916"/>
      <c r="O183" s="1917"/>
    </row>
    <row r="186" spans="2:15" x14ac:dyDescent="0.3">
      <c r="B186" s="1899" t="s">
        <v>1124</v>
      </c>
      <c r="C186" s="1899"/>
      <c r="D186" s="294"/>
      <c r="E186" s="14"/>
      <c r="F186" s="14"/>
      <c r="G186" s="14"/>
      <c r="H186" s="14"/>
      <c r="I186" s="14"/>
      <c r="J186" s="14"/>
      <c r="K186" s="14"/>
      <c r="L186" s="14"/>
    </row>
    <row r="188" spans="2:15" ht="56" x14ac:dyDescent="0.3">
      <c r="B188" s="1600" t="s">
        <v>340</v>
      </c>
      <c r="C188" s="1600" t="s">
        <v>556</v>
      </c>
      <c r="D188" s="1600" t="s">
        <v>567</v>
      </c>
      <c r="E188" s="288" t="s">
        <v>638</v>
      </c>
      <c r="F188" s="1593" t="s">
        <v>557</v>
      </c>
      <c r="G188" s="1593"/>
      <c r="H188" s="1593"/>
      <c r="I188" s="1593"/>
      <c r="J188" s="1593"/>
      <c r="K188" s="1593" t="s">
        <v>561</v>
      </c>
      <c r="L188" s="1593"/>
      <c r="M188" s="1593"/>
      <c r="N188" s="1593" t="s">
        <v>565</v>
      </c>
      <c r="O188" s="1593" t="s">
        <v>566</v>
      </c>
    </row>
    <row r="189" spans="2:15" ht="28" x14ac:dyDescent="0.3">
      <c r="B189" s="1642"/>
      <c r="C189" s="1642"/>
      <c r="D189" s="1642"/>
      <c r="E189" s="287" t="s">
        <v>640</v>
      </c>
      <c r="F189" s="285" t="s">
        <v>563</v>
      </c>
      <c r="G189" s="285" t="s">
        <v>558</v>
      </c>
      <c r="H189" s="285" t="s">
        <v>642</v>
      </c>
      <c r="I189" s="287" t="s">
        <v>559</v>
      </c>
      <c r="J189" s="287" t="s">
        <v>560</v>
      </c>
      <c r="K189" s="287" t="s">
        <v>562</v>
      </c>
      <c r="L189" s="287" t="s">
        <v>564</v>
      </c>
      <c r="M189" s="287" t="s">
        <v>641</v>
      </c>
      <c r="N189" s="1593"/>
      <c r="O189" s="1593"/>
    </row>
    <row r="190" spans="2:15" x14ac:dyDescent="0.3">
      <c r="B190" s="1893">
        <f>B189+1</f>
        <v>1</v>
      </c>
      <c r="C190" s="1896"/>
      <c r="D190" s="120" t="s">
        <v>279</v>
      </c>
      <c r="E190" s="1900" t="s">
        <v>773</v>
      </c>
      <c r="F190" s="1901"/>
      <c r="G190" s="1901"/>
      <c r="H190" s="1901"/>
      <c r="I190" s="1901"/>
      <c r="J190" s="1901"/>
      <c r="K190" s="1901"/>
      <c r="L190" s="1901"/>
      <c r="M190" s="1901"/>
      <c r="N190" s="1901"/>
      <c r="O190" s="1902"/>
    </row>
    <row r="191" spans="2:15" x14ac:dyDescent="0.3">
      <c r="B191" s="1894"/>
      <c r="C191" s="1897"/>
      <c r="D191" s="120" t="s">
        <v>280</v>
      </c>
      <c r="E191" s="1903"/>
      <c r="F191" s="1904"/>
      <c r="G191" s="1904"/>
      <c r="H191" s="1904"/>
      <c r="I191" s="1904"/>
      <c r="J191" s="1904"/>
      <c r="K191" s="1904"/>
      <c r="L191" s="1904"/>
      <c r="M191" s="1904"/>
      <c r="N191" s="1904"/>
      <c r="O191" s="1905"/>
    </row>
    <row r="192" spans="2:15" x14ac:dyDescent="0.3">
      <c r="B192" s="1894"/>
      <c r="C192" s="1897"/>
      <c r="D192" s="120" t="s">
        <v>281</v>
      </c>
      <c r="E192" s="1903"/>
      <c r="F192" s="1904"/>
      <c r="G192" s="1904"/>
      <c r="H192" s="1904"/>
      <c r="I192" s="1904"/>
      <c r="J192" s="1904"/>
      <c r="K192" s="1904"/>
      <c r="L192" s="1904"/>
      <c r="M192" s="1904"/>
      <c r="N192" s="1904"/>
      <c r="O192" s="1905"/>
    </row>
    <row r="193" spans="2:15" x14ac:dyDescent="0.3">
      <c r="B193" s="1894"/>
      <c r="C193" s="1897"/>
      <c r="D193" s="120" t="s">
        <v>568</v>
      </c>
      <c r="E193" s="1903"/>
      <c r="F193" s="1904"/>
      <c r="G193" s="1904"/>
      <c r="H193" s="1904"/>
      <c r="I193" s="1904"/>
      <c r="J193" s="1904"/>
      <c r="K193" s="1904"/>
      <c r="L193" s="1904"/>
      <c r="M193" s="1904"/>
      <c r="N193" s="1904"/>
      <c r="O193" s="1905"/>
    </row>
    <row r="194" spans="2:15" x14ac:dyDescent="0.3">
      <c r="B194" s="1894"/>
      <c r="C194" s="1897"/>
      <c r="D194" s="120" t="s">
        <v>283</v>
      </c>
      <c r="E194" s="1903"/>
      <c r="F194" s="1904"/>
      <c r="G194" s="1904"/>
      <c r="H194" s="1904"/>
      <c r="I194" s="1904"/>
      <c r="J194" s="1904"/>
      <c r="K194" s="1904"/>
      <c r="L194" s="1904"/>
      <c r="M194" s="1904"/>
      <c r="N194" s="1904"/>
      <c r="O194" s="1905"/>
    </row>
    <row r="195" spans="2:15" x14ac:dyDescent="0.3">
      <c r="B195" s="1894"/>
      <c r="C195" s="1897"/>
      <c r="D195" s="120" t="s">
        <v>284</v>
      </c>
      <c r="E195" s="1903"/>
      <c r="F195" s="1904"/>
      <c r="G195" s="1904"/>
      <c r="H195" s="1904"/>
      <c r="I195" s="1904"/>
      <c r="J195" s="1904"/>
      <c r="K195" s="1904"/>
      <c r="L195" s="1904"/>
      <c r="M195" s="1904"/>
      <c r="N195" s="1904"/>
      <c r="O195" s="1905"/>
    </row>
    <row r="196" spans="2:15" x14ac:dyDescent="0.3">
      <c r="B196" s="1894"/>
      <c r="C196" s="1897"/>
      <c r="D196" s="120" t="s">
        <v>285</v>
      </c>
      <c r="E196" s="1903"/>
      <c r="F196" s="1904"/>
      <c r="G196" s="1904"/>
      <c r="H196" s="1904"/>
      <c r="I196" s="1904"/>
      <c r="J196" s="1904"/>
      <c r="K196" s="1904"/>
      <c r="L196" s="1904"/>
      <c r="M196" s="1904"/>
      <c r="N196" s="1904"/>
      <c r="O196" s="1905"/>
    </row>
    <row r="197" spans="2:15" x14ac:dyDescent="0.3">
      <c r="B197" s="1894"/>
      <c r="C197" s="1897"/>
      <c r="D197" s="120" t="s">
        <v>569</v>
      </c>
      <c r="E197" s="1903"/>
      <c r="F197" s="1904"/>
      <c r="G197" s="1904"/>
      <c r="H197" s="1904"/>
      <c r="I197" s="1904"/>
      <c r="J197" s="1904"/>
      <c r="K197" s="1904"/>
      <c r="L197" s="1904"/>
      <c r="M197" s="1904"/>
      <c r="N197" s="1904"/>
      <c r="O197" s="1905"/>
    </row>
    <row r="198" spans="2:15" x14ac:dyDescent="0.3">
      <c r="B198" s="1894"/>
      <c r="C198" s="1897"/>
      <c r="D198" s="120" t="s">
        <v>287</v>
      </c>
      <c r="E198" s="1903"/>
      <c r="F198" s="1904"/>
      <c r="G198" s="1904"/>
      <c r="H198" s="1904"/>
      <c r="I198" s="1904"/>
      <c r="J198" s="1904"/>
      <c r="K198" s="1904"/>
      <c r="L198" s="1904"/>
      <c r="M198" s="1904"/>
      <c r="N198" s="1904"/>
      <c r="O198" s="1905"/>
    </row>
    <row r="199" spans="2:15" x14ac:dyDescent="0.3">
      <c r="B199" s="1894"/>
      <c r="C199" s="1897"/>
      <c r="D199" s="120" t="s">
        <v>288</v>
      </c>
      <c r="E199" s="1903"/>
      <c r="F199" s="1904"/>
      <c r="G199" s="1904"/>
      <c r="H199" s="1904"/>
      <c r="I199" s="1904"/>
      <c r="J199" s="1904"/>
      <c r="K199" s="1904"/>
      <c r="L199" s="1904"/>
      <c r="M199" s="1904"/>
      <c r="N199" s="1904"/>
      <c r="O199" s="1905"/>
    </row>
    <row r="200" spans="2:15" x14ac:dyDescent="0.3">
      <c r="B200" s="1894"/>
      <c r="C200" s="1897"/>
      <c r="D200" s="120" t="s">
        <v>289</v>
      </c>
      <c r="E200" s="1903"/>
      <c r="F200" s="1904"/>
      <c r="G200" s="1904"/>
      <c r="H200" s="1904"/>
      <c r="I200" s="1904"/>
      <c r="J200" s="1904"/>
      <c r="K200" s="1904"/>
      <c r="L200" s="1904"/>
      <c r="M200" s="1904"/>
      <c r="N200" s="1904"/>
      <c r="O200" s="1905"/>
    </row>
    <row r="201" spans="2:15" x14ac:dyDescent="0.3">
      <c r="B201" s="1895"/>
      <c r="C201" s="1898"/>
      <c r="D201" s="120" t="s">
        <v>290</v>
      </c>
      <c r="E201" s="1903"/>
      <c r="F201" s="1904"/>
      <c r="G201" s="1904"/>
      <c r="H201" s="1904"/>
      <c r="I201" s="1904"/>
      <c r="J201" s="1904"/>
      <c r="K201" s="1904"/>
      <c r="L201" s="1904"/>
      <c r="M201" s="1904"/>
      <c r="N201" s="1904"/>
      <c r="O201" s="1905"/>
    </row>
    <row r="202" spans="2:15" x14ac:dyDescent="0.3">
      <c r="B202" s="1893">
        <f>B190+1</f>
        <v>2</v>
      </c>
      <c r="C202" s="1896"/>
      <c r="D202" s="120" t="s">
        <v>279</v>
      </c>
      <c r="E202" s="1903"/>
      <c r="F202" s="1904"/>
      <c r="G202" s="1904"/>
      <c r="H202" s="1904"/>
      <c r="I202" s="1904"/>
      <c r="J202" s="1904"/>
      <c r="K202" s="1904"/>
      <c r="L202" s="1904"/>
      <c r="M202" s="1904"/>
      <c r="N202" s="1904"/>
      <c r="O202" s="1905"/>
    </row>
    <row r="203" spans="2:15" x14ac:dyDescent="0.3">
      <c r="B203" s="1894"/>
      <c r="C203" s="1897"/>
      <c r="D203" s="120" t="s">
        <v>280</v>
      </c>
      <c r="E203" s="1903"/>
      <c r="F203" s="1904"/>
      <c r="G203" s="1904"/>
      <c r="H203" s="1904"/>
      <c r="I203" s="1904"/>
      <c r="J203" s="1904"/>
      <c r="K203" s="1904"/>
      <c r="L203" s="1904"/>
      <c r="M203" s="1904"/>
      <c r="N203" s="1904"/>
      <c r="O203" s="1905"/>
    </row>
    <row r="204" spans="2:15" x14ac:dyDescent="0.3">
      <c r="B204" s="1894"/>
      <c r="C204" s="1897"/>
      <c r="D204" s="120" t="s">
        <v>281</v>
      </c>
      <c r="E204" s="1903"/>
      <c r="F204" s="1904"/>
      <c r="G204" s="1904"/>
      <c r="H204" s="1904"/>
      <c r="I204" s="1904"/>
      <c r="J204" s="1904"/>
      <c r="K204" s="1904"/>
      <c r="L204" s="1904"/>
      <c r="M204" s="1904"/>
      <c r="N204" s="1904"/>
      <c r="O204" s="1905"/>
    </row>
    <row r="205" spans="2:15" x14ac:dyDescent="0.3">
      <c r="B205" s="1894"/>
      <c r="C205" s="1897"/>
      <c r="D205" s="120" t="s">
        <v>568</v>
      </c>
      <c r="E205" s="1903"/>
      <c r="F205" s="1904"/>
      <c r="G205" s="1904"/>
      <c r="H205" s="1904"/>
      <c r="I205" s="1904"/>
      <c r="J205" s="1904"/>
      <c r="K205" s="1904"/>
      <c r="L205" s="1904"/>
      <c r="M205" s="1904"/>
      <c r="N205" s="1904"/>
      <c r="O205" s="1905"/>
    </row>
    <row r="206" spans="2:15" x14ac:dyDescent="0.3">
      <c r="B206" s="1894"/>
      <c r="C206" s="1897"/>
      <c r="D206" s="120" t="s">
        <v>283</v>
      </c>
      <c r="E206" s="1903"/>
      <c r="F206" s="1904"/>
      <c r="G206" s="1904"/>
      <c r="H206" s="1904"/>
      <c r="I206" s="1904"/>
      <c r="J206" s="1904"/>
      <c r="K206" s="1904"/>
      <c r="L206" s="1904"/>
      <c r="M206" s="1904"/>
      <c r="N206" s="1904"/>
      <c r="O206" s="1905"/>
    </row>
    <row r="207" spans="2:15" x14ac:dyDescent="0.3">
      <c r="B207" s="1894"/>
      <c r="C207" s="1897"/>
      <c r="D207" s="120" t="s">
        <v>284</v>
      </c>
      <c r="E207" s="1903"/>
      <c r="F207" s="1904"/>
      <c r="G207" s="1904"/>
      <c r="H207" s="1904"/>
      <c r="I207" s="1904"/>
      <c r="J207" s="1904"/>
      <c r="K207" s="1904"/>
      <c r="L207" s="1904"/>
      <c r="M207" s="1904"/>
      <c r="N207" s="1904"/>
      <c r="O207" s="1905"/>
    </row>
    <row r="208" spans="2:15" x14ac:dyDescent="0.3">
      <c r="B208" s="1894"/>
      <c r="C208" s="1897"/>
      <c r="D208" s="120" t="s">
        <v>285</v>
      </c>
      <c r="E208" s="1903"/>
      <c r="F208" s="1904"/>
      <c r="G208" s="1904"/>
      <c r="H208" s="1904"/>
      <c r="I208" s="1904"/>
      <c r="J208" s="1904"/>
      <c r="K208" s="1904"/>
      <c r="L208" s="1904"/>
      <c r="M208" s="1904"/>
      <c r="N208" s="1904"/>
      <c r="O208" s="1905"/>
    </row>
    <row r="209" spans="2:15" x14ac:dyDescent="0.3">
      <c r="B209" s="1894"/>
      <c r="C209" s="1897"/>
      <c r="D209" s="120" t="s">
        <v>569</v>
      </c>
      <c r="E209" s="1903"/>
      <c r="F209" s="1904"/>
      <c r="G209" s="1904"/>
      <c r="H209" s="1904"/>
      <c r="I209" s="1904"/>
      <c r="J209" s="1904"/>
      <c r="K209" s="1904"/>
      <c r="L209" s="1904"/>
      <c r="M209" s="1904"/>
      <c r="N209" s="1904"/>
      <c r="O209" s="1905"/>
    </row>
    <row r="210" spans="2:15" x14ac:dyDescent="0.3">
      <c r="B210" s="1894"/>
      <c r="C210" s="1897"/>
      <c r="D210" s="120" t="s">
        <v>287</v>
      </c>
      <c r="E210" s="1903"/>
      <c r="F210" s="1904"/>
      <c r="G210" s="1904"/>
      <c r="H210" s="1904"/>
      <c r="I210" s="1904"/>
      <c r="J210" s="1904"/>
      <c r="K210" s="1904"/>
      <c r="L210" s="1904"/>
      <c r="M210" s="1904"/>
      <c r="N210" s="1904"/>
      <c r="O210" s="1905"/>
    </row>
    <row r="211" spans="2:15" x14ac:dyDescent="0.3">
      <c r="B211" s="1894"/>
      <c r="C211" s="1897"/>
      <c r="D211" s="120" t="s">
        <v>288</v>
      </c>
      <c r="E211" s="1903"/>
      <c r="F211" s="1904"/>
      <c r="G211" s="1904"/>
      <c r="H211" s="1904"/>
      <c r="I211" s="1904"/>
      <c r="J211" s="1904"/>
      <c r="K211" s="1904"/>
      <c r="L211" s="1904"/>
      <c r="M211" s="1904"/>
      <c r="N211" s="1904"/>
      <c r="O211" s="1905"/>
    </row>
    <row r="212" spans="2:15" x14ac:dyDescent="0.3">
      <c r="B212" s="1894"/>
      <c r="C212" s="1897"/>
      <c r="D212" s="120" t="s">
        <v>289</v>
      </c>
      <c r="E212" s="1903"/>
      <c r="F212" s="1904"/>
      <c r="G212" s="1904"/>
      <c r="H212" s="1904"/>
      <c r="I212" s="1904"/>
      <c r="J212" s="1904"/>
      <c r="K212" s="1904"/>
      <c r="L212" s="1904"/>
      <c r="M212" s="1904"/>
      <c r="N212" s="1904"/>
      <c r="O212" s="1905"/>
    </row>
    <row r="213" spans="2:15" x14ac:dyDescent="0.3">
      <c r="B213" s="1895"/>
      <c r="C213" s="1898"/>
      <c r="D213" s="120" t="s">
        <v>290</v>
      </c>
      <c r="E213" s="1903"/>
      <c r="F213" s="1904"/>
      <c r="G213" s="1904"/>
      <c r="H213" s="1904"/>
      <c r="I213" s="1904"/>
      <c r="J213" s="1904"/>
      <c r="K213" s="1904"/>
      <c r="L213" s="1904"/>
      <c r="M213" s="1904"/>
      <c r="N213" s="1904"/>
      <c r="O213" s="1905"/>
    </row>
    <row r="214" spans="2:15" x14ac:dyDescent="0.3">
      <c r="B214" s="94">
        <v>3</v>
      </c>
      <c r="C214" s="119"/>
      <c r="D214" s="119"/>
      <c r="E214" s="1903"/>
      <c r="F214" s="1904"/>
      <c r="G214" s="1904"/>
      <c r="H214" s="1904"/>
      <c r="I214" s="1904"/>
      <c r="J214" s="1904"/>
      <c r="K214" s="1904"/>
      <c r="L214" s="1904"/>
      <c r="M214" s="1904"/>
      <c r="N214" s="1904"/>
      <c r="O214" s="1905"/>
    </row>
    <row r="215" spans="2:15" x14ac:dyDescent="0.3">
      <c r="B215" s="94" t="s">
        <v>474</v>
      </c>
      <c r="C215" s="121"/>
      <c r="D215" s="121"/>
      <c r="E215" s="1906"/>
      <c r="F215" s="1907"/>
      <c r="G215" s="1907"/>
      <c r="H215" s="1907"/>
      <c r="I215" s="1907"/>
      <c r="J215" s="1907"/>
      <c r="K215" s="1907"/>
      <c r="L215" s="1907"/>
      <c r="M215" s="1907"/>
      <c r="N215" s="1907"/>
      <c r="O215" s="1908"/>
    </row>
    <row r="217" spans="2:15" x14ac:dyDescent="0.3">
      <c r="B217" s="247" t="s">
        <v>570</v>
      </c>
    </row>
    <row r="218" spans="2:15" x14ac:dyDescent="0.3">
      <c r="B218" s="247" t="s">
        <v>637</v>
      </c>
    </row>
    <row r="219" spans="2:15" x14ac:dyDescent="0.3">
      <c r="B219" s="247" t="s">
        <v>571</v>
      </c>
    </row>
    <row r="220" spans="2:15" x14ac:dyDescent="0.3">
      <c r="B220" s="247" t="s">
        <v>639</v>
      </c>
    </row>
    <row r="222" spans="2:15" x14ac:dyDescent="0.3">
      <c r="B222" s="1899" t="s">
        <v>1125</v>
      </c>
      <c r="C222" s="1899"/>
      <c r="D222" s="294"/>
      <c r="E222" s="14"/>
      <c r="F222" s="14"/>
      <c r="G222" s="14"/>
      <c r="H222" s="14"/>
      <c r="I222" s="14"/>
      <c r="J222" s="14"/>
      <c r="K222" s="14"/>
      <c r="L222" s="14"/>
    </row>
    <row r="224" spans="2:15" ht="57" customHeight="1" x14ac:dyDescent="0.3">
      <c r="B224" s="1600" t="s">
        <v>340</v>
      </c>
      <c r="C224" s="1600" t="s">
        <v>556</v>
      </c>
      <c r="D224" s="1600" t="s">
        <v>567</v>
      </c>
      <c r="E224" s="288" t="s">
        <v>638</v>
      </c>
      <c r="F224" s="1595" t="s">
        <v>557</v>
      </c>
      <c r="G224" s="1596"/>
      <c r="H224" s="1596"/>
      <c r="I224" s="1596"/>
      <c r="J224" s="1597"/>
      <c r="K224" s="1595" t="s">
        <v>561</v>
      </c>
      <c r="L224" s="1596"/>
      <c r="M224" s="1597"/>
      <c r="N224" s="1600" t="s">
        <v>565</v>
      </c>
      <c r="O224" s="1600" t="s">
        <v>566</v>
      </c>
    </row>
    <row r="225" spans="2:15" ht="28" x14ac:dyDescent="0.3">
      <c r="B225" s="1642"/>
      <c r="C225" s="1642"/>
      <c r="D225" s="1642"/>
      <c r="E225" s="287" t="s">
        <v>640</v>
      </c>
      <c r="F225" s="285" t="s">
        <v>563</v>
      </c>
      <c r="G225" s="285" t="s">
        <v>558</v>
      </c>
      <c r="H225" s="285" t="s">
        <v>642</v>
      </c>
      <c r="I225" s="287" t="s">
        <v>559</v>
      </c>
      <c r="J225" s="287" t="s">
        <v>560</v>
      </c>
      <c r="K225" s="287" t="s">
        <v>562</v>
      </c>
      <c r="L225" s="287" t="s">
        <v>564</v>
      </c>
      <c r="M225" s="287" t="s">
        <v>641</v>
      </c>
      <c r="N225" s="1642"/>
      <c r="O225" s="1642"/>
    </row>
    <row r="226" spans="2:15" x14ac:dyDescent="0.3">
      <c r="B226" s="1893">
        <f>B225+1</f>
        <v>1</v>
      </c>
      <c r="C226" s="1896"/>
      <c r="D226" s="120" t="s">
        <v>279</v>
      </c>
      <c r="E226" s="1900" t="s">
        <v>773</v>
      </c>
      <c r="F226" s="1901"/>
      <c r="G226" s="1901"/>
      <c r="H226" s="1901"/>
      <c r="I226" s="1901"/>
      <c r="J226" s="1901"/>
      <c r="K226" s="1901"/>
      <c r="L226" s="1901"/>
      <c r="M226" s="1901"/>
      <c r="N226" s="1901"/>
      <c r="O226" s="1902"/>
    </row>
    <row r="227" spans="2:15" x14ac:dyDescent="0.3">
      <c r="B227" s="1894"/>
      <c r="C227" s="1897"/>
      <c r="D227" s="120" t="s">
        <v>280</v>
      </c>
      <c r="E227" s="1903"/>
      <c r="F227" s="1904"/>
      <c r="G227" s="1904"/>
      <c r="H227" s="1904"/>
      <c r="I227" s="1904"/>
      <c r="J227" s="1904"/>
      <c r="K227" s="1904"/>
      <c r="L227" s="1904"/>
      <c r="M227" s="1904"/>
      <c r="N227" s="1904"/>
      <c r="O227" s="1905"/>
    </row>
    <row r="228" spans="2:15" x14ac:dyDescent="0.3">
      <c r="B228" s="1894"/>
      <c r="C228" s="1897"/>
      <c r="D228" s="120" t="s">
        <v>281</v>
      </c>
      <c r="E228" s="1903"/>
      <c r="F228" s="1904"/>
      <c r="G228" s="1904"/>
      <c r="H228" s="1904"/>
      <c r="I228" s="1904"/>
      <c r="J228" s="1904"/>
      <c r="K228" s="1904"/>
      <c r="L228" s="1904"/>
      <c r="M228" s="1904"/>
      <c r="N228" s="1904"/>
      <c r="O228" s="1905"/>
    </row>
    <row r="229" spans="2:15" x14ac:dyDescent="0.3">
      <c r="B229" s="1894"/>
      <c r="C229" s="1897"/>
      <c r="D229" s="120" t="s">
        <v>568</v>
      </c>
      <c r="E229" s="1903"/>
      <c r="F229" s="1904"/>
      <c r="G229" s="1904"/>
      <c r="H229" s="1904"/>
      <c r="I229" s="1904"/>
      <c r="J229" s="1904"/>
      <c r="K229" s="1904"/>
      <c r="L229" s="1904"/>
      <c r="M229" s="1904"/>
      <c r="N229" s="1904"/>
      <c r="O229" s="1905"/>
    </row>
    <row r="230" spans="2:15" x14ac:dyDescent="0.3">
      <c r="B230" s="1894"/>
      <c r="C230" s="1897"/>
      <c r="D230" s="120" t="s">
        <v>283</v>
      </c>
      <c r="E230" s="1903"/>
      <c r="F230" s="1904"/>
      <c r="G230" s="1904"/>
      <c r="H230" s="1904"/>
      <c r="I230" s="1904"/>
      <c r="J230" s="1904"/>
      <c r="K230" s="1904"/>
      <c r="L230" s="1904"/>
      <c r="M230" s="1904"/>
      <c r="N230" s="1904"/>
      <c r="O230" s="1905"/>
    </row>
    <row r="231" spans="2:15" x14ac:dyDescent="0.3">
      <c r="B231" s="1894"/>
      <c r="C231" s="1897"/>
      <c r="D231" s="120" t="s">
        <v>284</v>
      </c>
      <c r="E231" s="1903"/>
      <c r="F231" s="1904"/>
      <c r="G231" s="1904"/>
      <c r="H231" s="1904"/>
      <c r="I231" s="1904"/>
      <c r="J231" s="1904"/>
      <c r="K231" s="1904"/>
      <c r="L231" s="1904"/>
      <c r="M231" s="1904"/>
      <c r="N231" s="1904"/>
      <c r="O231" s="1905"/>
    </row>
    <row r="232" spans="2:15" x14ac:dyDescent="0.3">
      <c r="B232" s="1894"/>
      <c r="C232" s="1897"/>
      <c r="D232" s="120" t="s">
        <v>285</v>
      </c>
      <c r="E232" s="1903"/>
      <c r="F232" s="1904"/>
      <c r="G232" s="1904"/>
      <c r="H232" s="1904"/>
      <c r="I232" s="1904"/>
      <c r="J232" s="1904"/>
      <c r="K232" s="1904"/>
      <c r="L232" s="1904"/>
      <c r="M232" s="1904"/>
      <c r="N232" s="1904"/>
      <c r="O232" s="1905"/>
    </row>
    <row r="233" spans="2:15" x14ac:dyDescent="0.3">
      <c r="B233" s="1894"/>
      <c r="C233" s="1897"/>
      <c r="D233" s="120" t="s">
        <v>569</v>
      </c>
      <c r="E233" s="1903"/>
      <c r="F233" s="1904"/>
      <c r="G233" s="1904"/>
      <c r="H233" s="1904"/>
      <c r="I233" s="1904"/>
      <c r="J233" s="1904"/>
      <c r="K233" s="1904"/>
      <c r="L233" s="1904"/>
      <c r="M233" s="1904"/>
      <c r="N233" s="1904"/>
      <c r="O233" s="1905"/>
    </row>
    <row r="234" spans="2:15" x14ac:dyDescent="0.3">
      <c r="B234" s="1894"/>
      <c r="C234" s="1897"/>
      <c r="D234" s="120" t="s">
        <v>287</v>
      </c>
      <c r="E234" s="1903"/>
      <c r="F234" s="1904"/>
      <c r="G234" s="1904"/>
      <c r="H234" s="1904"/>
      <c r="I234" s="1904"/>
      <c r="J234" s="1904"/>
      <c r="K234" s="1904"/>
      <c r="L234" s="1904"/>
      <c r="M234" s="1904"/>
      <c r="N234" s="1904"/>
      <c r="O234" s="1905"/>
    </row>
    <row r="235" spans="2:15" x14ac:dyDescent="0.3">
      <c r="B235" s="1894"/>
      <c r="C235" s="1897"/>
      <c r="D235" s="120" t="s">
        <v>288</v>
      </c>
      <c r="E235" s="1903"/>
      <c r="F235" s="1904"/>
      <c r="G235" s="1904"/>
      <c r="H235" s="1904"/>
      <c r="I235" s="1904"/>
      <c r="J235" s="1904"/>
      <c r="K235" s="1904"/>
      <c r="L235" s="1904"/>
      <c r="M235" s="1904"/>
      <c r="N235" s="1904"/>
      <c r="O235" s="1905"/>
    </row>
    <row r="236" spans="2:15" x14ac:dyDescent="0.3">
      <c r="B236" s="1894"/>
      <c r="C236" s="1897"/>
      <c r="D236" s="120" t="s">
        <v>289</v>
      </c>
      <c r="E236" s="1903"/>
      <c r="F236" s="1904"/>
      <c r="G236" s="1904"/>
      <c r="H236" s="1904"/>
      <c r="I236" s="1904"/>
      <c r="J236" s="1904"/>
      <c r="K236" s="1904"/>
      <c r="L236" s="1904"/>
      <c r="M236" s="1904"/>
      <c r="N236" s="1904"/>
      <c r="O236" s="1905"/>
    </row>
    <row r="237" spans="2:15" x14ac:dyDescent="0.3">
      <c r="B237" s="1895"/>
      <c r="C237" s="1898"/>
      <c r="D237" s="120" t="s">
        <v>290</v>
      </c>
      <c r="E237" s="1903"/>
      <c r="F237" s="1904"/>
      <c r="G237" s="1904"/>
      <c r="H237" s="1904"/>
      <c r="I237" s="1904"/>
      <c r="J237" s="1904"/>
      <c r="K237" s="1904"/>
      <c r="L237" s="1904"/>
      <c r="M237" s="1904"/>
      <c r="N237" s="1904"/>
      <c r="O237" s="1905"/>
    </row>
    <row r="238" spans="2:15" x14ac:dyDescent="0.3">
      <c r="B238" s="1893">
        <f>B226+1</f>
        <v>2</v>
      </c>
      <c r="C238" s="1896"/>
      <c r="D238" s="120" t="s">
        <v>279</v>
      </c>
      <c r="E238" s="1903"/>
      <c r="F238" s="1904"/>
      <c r="G238" s="1904"/>
      <c r="H238" s="1904"/>
      <c r="I238" s="1904"/>
      <c r="J238" s="1904"/>
      <c r="K238" s="1904"/>
      <c r="L238" s="1904"/>
      <c r="M238" s="1904"/>
      <c r="N238" s="1904"/>
      <c r="O238" s="1905"/>
    </row>
    <row r="239" spans="2:15" x14ac:dyDescent="0.3">
      <c r="B239" s="1894"/>
      <c r="C239" s="1897"/>
      <c r="D239" s="120" t="s">
        <v>280</v>
      </c>
      <c r="E239" s="1903"/>
      <c r="F239" s="1904"/>
      <c r="G239" s="1904"/>
      <c r="H239" s="1904"/>
      <c r="I239" s="1904"/>
      <c r="J239" s="1904"/>
      <c r="K239" s="1904"/>
      <c r="L239" s="1904"/>
      <c r="M239" s="1904"/>
      <c r="N239" s="1904"/>
      <c r="O239" s="1905"/>
    </row>
    <row r="240" spans="2:15" x14ac:dyDescent="0.3">
      <c r="B240" s="1894"/>
      <c r="C240" s="1897"/>
      <c r="D240" s="120" t="s">
        <v>281</v>
      </c>
      <c r="E240" s="1903"/>
      <c r="F240" s="1904"/>
      <c r="G240" s="1904"/>
      <c r="H240" s="1904"/>
      <c r="I240" s="1904"/>
      <c r="J240" s="1904"/>
      <c r="K240" s="1904"/>
      <c r="L240" s="1904"/>
      <c r="M240" s="1904"/>
      <c r="N240" s="1904"/>
      <c r="O240" s="1905"/>
    </row>
    <row r="241" spans="2:15" x14ac:dyDescent="0.3">
      <c r="B241" s="1894"/>
      <c r="C241" s="1897"/>
      <c r="D241" s="120" t="s">
        <v>568</v>
      </c>
      <c r="E241" s="1903"/>
      <c r="F241" s="1904"/>
      <c r="G241" s="1904"/>
      <c r="H241" s="1904"/>
      <c r="I241" s="1904"/>
      <c r="J241" s="1904"/>
      <c r="K241" s="1904"/>
      <c r="L241" s="1904"/>
      <c r="M241" s="1904"/>
      <c r="N241" s="1904"/>
      <c r="O241" s="1905"/>
    </row>
    <row r="242" spans="2:15" x14ac:dyDescent="0.3">
      <c r="B242" s="1894"/>
      <c r="C242" s="1897"/>
      <c r="D242" s="120" t="s">
        <v>283</v>
      </c>
      <c r="E242" s="1903"/>
      <c r="F242" s="1904"/>
      <c r="G242" s="1904"/>
      <c r="H242" s="1904"/>
      <c r="I242" s="1904"/>
      <c r="J242" s="1904"/>
      <c r="K242" s="1904"/>
      <c r="L242" s="1904"/>
      <c r="M242" s="1904"/>
      <c r="N242" s="1904"/>
      <c r="O242" s="1905"/>
    </row>
    <row r="243" spans="2:15" x14ac:dyDescent="0.3">
      <c r="B243" s="1894"/>
      <c r="C243" s="1897"/>
      <c r="D243" s="120" t="s">
        <v>284</v>
      </c>
      <c r="E243" s="1903"/>
      <c r="F243" s="1904"/>
      <c r="G243" s="1904"/>
      <c r="H243" s="1904"/>
      <c r="I243" s="1904"/>
      <c r="J243" s="1904"/>
      <c r="K243" s="1904"/>
      <c r="L243" s="1904"/>
      <c r="M243" s="1904"/>
      <c r="N243" s="1904"/>
      <c r="O243" s="1905"/>
    </row>
    <row r="244" spans="2:15" x14ac:dyDescent="0.3">
      <c r="B244" s="1894"/>
      <c r="C244" s="1897"/>
      <c r="D244" s="120" t="s">
        <v>285</v>
      </c>
      <c r="E244" s="1903"/>
      <c r="F244" s="1904"/>
      <c r="G244" s="1904"/>
      <c r="H244" s="1904"/>
      <c r="I244" s="1904"/>
      <c r="J244" s="1904"/>
      <c r="K244" s="1904"/>
      <c r="L244" s="1904"/>
      <c r="M244" s="1904"/>
      <c r="N244" s="1904"/>
      <c r="O244" s="1905"/>
    </row>
    <row r="245" spans="2:15" x14ac:dyDescent="0.3">
      <c r="B245" s="1894"/>
      <c r="C245" s="1897"/>
      <c r="D245" s="120" t="s">
        <v>569</v>
      </c>
      <c r="E245" s="1903"/>
      <c r="F245" s="1904"/>
      <c r="G245" s="1904"/>
      <c r="H245" s="1904"/>
      <c r="I245" s="1904"/>
      <c r="J245" s="1904"/>
      <c r="K245" s="1904"/>
      <c r="L245" s="1904"/>
      <c r="M245" s="1904"/>
      <c r="N245" s="1904"/>
      <c r="O245" s="1905"/>
    </row>
    <row r="246" spans="2:15" x14ac:dyDescent="0.3">
      <c r="B246" s="1894"/>
      <c r="C246" s="1897"/>
      <c r="D246" s="120" t="s">
        <v>287</v>
      </c>
      <c r="E246" s="1903"/>
      <c r="F246" s="1904"/>
      <c r="G246" s="1904"/>
      <c r="H246" s="1904"/>
      <c r="I246" s="1904"/>
      <c r="J246" s="1904"/>
      <c r="K246" s="1904"/>
      <c r="L246" s="1904"/>
      <c r="M246" s="1904"/>
      <c r="N246" s="1904"/>
      <c r="O246" s="1905"/>
    </row>
    <row r="247" spans="2:15" x14ac:dyDescent="0.3">
      <c r="B247" s="1894"/>
      <c r="C247" s="1897"/>
      <c r="D247" s="120" t="s">
        <v>288</v>
      </c>
      <c r="E247" s="1903"/>
      <c r="F247" s="1904"/>
      <c r="G247" s="1904"/>
      <c r="H247" s="1904"/>
      <c r="I247" s="1904"/>
      <c r="J247" s="1904"/>
      <c r="K247" s="1904"/>
      <c r="L247" s="1904"/>
      <c r="M247" s="1904"/>
      <c r="N247" s="1904"/>
      <c r="O247" s="1905"/>
    </row>
    <row r="248" spans="2:15" x14ac:dyDescent="0.3">
      <c r="B248" s="1894"/>
      <c r="C248" s="1897"/>
      <c r="D248" s="120" t="s">
        <v>289</v>
      </c>
      <c r="E248" s="1903"/>
      <c r="F248" s="1904"/>
      <c r="G248" s="1904"/>
      <c r="H248" s="1904"/>
      <c r="I248" s="1904"/>
      <c r="J248" s="1904"/>
      <c r="K248" s="1904"/>
      <c r="L248" s="1904"/>
      <c r="M248" s="1904"/>
      <c r="N248" s="1904"/>
      <c r="O248" s="1905"/>
    </row>
    <row r="249" spans="2:15" x14ac:dyDescent="0.3">
      <c r="B249" s="1895"/>
      <c r="C249" s="1898"/>
      <c r="D249" s="120" t="s">
        <v>290</v>
      </c>
      <c r="E249" s="1903"/>
      <c r="F249" s="1904"/>
      <c r="G249" s="1904"/>
      <c r="H249" s="1904"/>
      <c r="I249" s="1904"/>
      <c r="J249" s="1904"/>
      <c r="K249" s="1904"/>
      <c r="L249" s="1904"/>
      <c r="M249" s="1904"/>
      <c r="N249" s="1904"/>
      <c r="O249" s="1905"/>
    </row>
    <row r="250" spans="2:15" x14ac:dyDescent="0.3">
      <c r="B250" s="94">
        <v>3</v>
      </c>
      <c r="C250" s="119"/>
      <c r="D250" s="119"/>
      <c r="E250" s="1903"/>
      <c r="F250" s="1904"/>
      <c r="G250" s="1904"/>
      <c r="H250" s="1904"/>
      <c r="I250" s="1904"/>
      <c r="J250" s="1904"/>
      <c r="K250" s="1904"/>
      <c r="L250" s="1904"/>
      <c r="M250" s="1904"/>
      <c r="N250" s="1904"/>
      <c r="O250" s="1905"/>
    </row>
    <row r="251" spans="2:15" x14ac:dyDescent="0.3">
      <c r="B251" s="94" t="s">
        <v>474</v>
      </c>
      <c r="C251" s="121"/>
      <c r="D251" s="121"/>
      <c r="E251" s="1906"/>
      <c r="F251" s="1907"/>
      <c r="G251" s="1907"/>
      <c r="H251" s="1907"/>
      <c r="I251" s="1907"/>
      <c r="J251" s="1907"/>
      <c r="K251" s="1907"/>
      <c r="L251" s="1907"/>
      <c r="M251" s="1907"/>
      <c r="N251" s="1907"/>
      <c r="O251" s="1908"/>
    </row>
    <row r="253" spans="2:15" x14ac:dyDescent="0.3">
      <c r="B253" s="247" t="s">
        <v>570</v>
      </c>
    </row>
    <row r="254" spans="2:15" x14ac:dyDescent="0.3">
      <c r="B254" s="247" t="s">
        <v>637</v>
      </c>
    </row>
    <row r="255" spans="2:15" x14ac:dyDescent="0.3">
      <c r="B255" s="247" t="s">
        <v>571</v>
      </c>
    </row>
    <row r="256" spans="2:15" x14ac:dyDescent="0.3">
      <c r="B256" s="247" t="s">
        <v>639</v>
      </c>
    </row>
    <row r="258" spans="2:15" x14ac:dyDescent="0.3">
      <c r="B258" s="1899" t="s">
        <v>1126</v>
      </c>
      <c r="C258" s="1899"/>
      <c r="D258" s="248"/>
      <c r="E258" s="14"/>
      <c r="F258" s="14"/>
      <c r="G258" s="14"/>
      <c r="H258" s="14"/>
      <c r="I258" s="14"/>
      <c r="J258" s="14"/>
      <c r="K258" s="14"/>
      <c r="L258" s="14"/>
    </row>
    <row r="260" spans="2:15" ht="56" x14ac:dyDescent="0.3">
      <c r="B260" s="1600" t="s">
        <v>340</v>
      </c>
      <c r="C260" s="1600" t="s">
        <v>556</v>
      </c>
      <c r="D260" s="1600" t="s">
        <v>567</v>
      </c>
      <c r="E260" s="251" t="s">
        <v>638</v>
      </c>
      <c r="F260" s="1593" t="s">
        <v>557</v>
      </c>
      <c r="G260" s="1593"/>
      <c r="H260" s="1593"/>
      <c r="I260" s="1593"/>
      <c r="J260" s="1593"/>
      <c r="K260" s="1593" t="s">
        <v>561</v>
      </c>
      <c r="L260" s="1593"/>
      <c r="M260" s="1593"/>
      <c r="N260" s="1593" t="s">
        <v>565</v>
      </c>
      <c r="O260" s="1593" t="s">
        <v>566</v>
      </c>
    </row>
    <row r="261" spans="2:15" ht="28" x14ac:dyDescent="0.3">
      <c r="B261" s="1642"/>
      <c r="C261" s="1642"/>
      <c r="D261" s="1642"/>
      <c r="E261" s="250" t="s">
        <v>640</v>
      </c>
      <c r="F261" s="249" t="s">
        <v>563</v>
      </c>
      <c r="G261" s="249" t="s">
        <v>558</v>
      </c>
      <c r="H261" s="249" t="s">
        <v>642</v>
      </c>
      <c r="I261" s="250" t="s">
        <v>559</v>
      </c>
      <c r="J261" s="250" t="s">
        <v>560</v>
      </c>
      <c r="K261" s="250" t="s">
        <v>562</v>
      </c>
      <c r="L261" s="250" t="s">
        <v>564</v>
      </c>
      <c r="M261" s="250" t="s">
        <v>641</v>
      </c>
      <c r="N261" s="1593"/>
      <c r="O261" s="1593"/>
    </row>
    <row r="262" spans="2:15" x14ac:dyDescent="0.3">
      <c r="B262" s="1893">
        <f>B261+1</f>
        <v>1</v>
      </c>
      <c r="C262" s="1896"/>
      <c r="D262" s="120" t="s">
        <v>279</v>
      </c>
      <c r="E262" s="1900" t="s">
        <v>773</v>
      </c>
      <c r="F262" s="1901"/>
      <c r="G262" s="1901"/>
      <c r="H262" s="1901"/>
      <c r="I262" s="1901"/>
      <c r="J262" s="1901"/>
      <c r="K262" s="1901"/>
      <c r="L262" s="1901"/>
      <c r="M262" s="1901"/>
      <c r="N262" s="1901"/>
      <c r="O262" s="1902"/>
    </row>
    <row r="263" spans="2:15" x14ac:dyDescent="0.3">
      <c r="B263" s="1894"/>
      <c r="C263" s="1897"/>
      <c r="D263" s="120" t="s">
        <v>280</v>
      </c>
      <c r="E263" s="1903"/>
      <c r="F263" s="1904"/>
      <c r="G263" s="1904"/>
      <c r="H263" s="1904"/>
      <c r="I263" s="1904"/>
      <c r="J263" s="1904"/>
      <c r="K263" s="1904"/>
      <c r="L263" s="1904"/>
      <c r="M263" s="1904"/>
      <c r="N263" s="1904"/>
      <c r="O263" s="1905"/>
    </row>
    <row r="264" spans="2:15" x14ac:dyDescent="0.3">
      <c r="B264" s="1894"/>
      <c r="C264" s="1897"/>
      <c r="D264" s="120" t="s">
        <v>281</v>
      </c>
      <c r="E264" s="1903"/>
      <c r="F264" s="1904"/>
      <c r="G264" s="1904"/>
      <c r="H264" s="1904"/>
      <c r="I264" s="1904"/>
      <c r="J264" s="1904"/>
      <c r="K264" s="1904"/>
      <c r="L264" s="1904"/>
      <c r="M264" s="1904"/>
      <c r="N264" s="1904"/>
      <c r="O264" s="1905"/>
    </row>
    <row r="265" spans="2:15" x14ac:dyDescent="0.3">
      <c r="B265" s="1894"/>
      <c r="C265" s="1897"/>
      <c r="D265" s="120" t="s">
        <v>568</v>
      </c>
      <c r="E265" s="1903"/>
      <c r="F265" s="1904"/>
      <c r="G265" s="1904"/>
      <c r="H265" s="1904"/>
      <c r="I265" s="1904"/>
      <c r="J265" s="1904"/>
      <c r="K265" s="1904"/>
      <c r="L265" s="1904"/>
      <c r="M265" s="1904"/>
      <c r="N265" s="1904"/>
      <c r="O265" s="1905"/>
    </row>
    <row r="266" spans="2:15" x14ac:dyDescent="0.3">
      <c r="B266" s="1894"/>
      <c r="C266" s="1897"/>
      <c r="D266" s="120" t="s">
        <v>283</v>
      </c>
      <c r="E266" s="1903"/>
      <c r="F266" s="1904"/>
      <c r="G266" s="1904"/>
      <c r="H266" s="1904"/>
      <c r="I266" s="1904"/>
      <c r="J266" s="1904"/>
      <c r="K266" s="1904"/>
      <c r="L266" s="1904"/>
      <c r="M266" s="1904"/>
      <c r="N266" s="1904"/>
      <c r="O266" s="1905"/>
    </row>
    <row r="267" spans="2:15" x14ac:dyDescent="0.3">
      <c r="B267" s="1894"/>
      <c r="C267" s="1897"/>
      <c r="D267" s="120" t="s">
        <v>284</v>
      </c>
      <c r="E267" s="1903"/>
      <c r="F267" s="1904"/>
      <c r="G267" s="1904"/>
      <c r="H267" s="1904"/>
      <c r="I267" s="1904"/>
      <c r="J267" s="1904"/>
      <c r="K267" s="1904"/>
      <c r="L267" s="1904"/>
      <c r="M267" s="1904"/>
      <c r="N267" s="1904"/>
      <c r="O267" s="1905"/>
    </row>
    <row r="268" spans="2:15" x14ac:dyDescent="0.3">
      <c r="B268" s="1894"/>
      <c r="C268" s="1897"/>
      <c r="D268" s="120" t="s">
        <v>285</v>
      </c>
      <c r="E268" s="1903"/>
      <c r="F268" s="1904"/>
      <c r="G268" s="1904"/>
      <c r="H268" s="1904"/>
      <c r="I268" s="1904"/>
      <c r="J268" s="1904"/>
      <c r="K268" s="1904"/>
      <c r="L268" s="1904"/>
      <c r="M268" s="1904"/>
      <c r="N268" s="1904"/>
      <c r="O268" s="1905"/>
    </row>
    <row r="269" spans="2:15" x14ac:dyDescent="0.3">
      <c r="B269" s="1894"/>
      <c r="C269" s="1897"/>
      <c r="D269" s="120" t="s">
        <v>569</v>
      </c>
      <c r="E269" s="1903"/>
      <c r="F269" s="1904"/>
      <c r="G269" s="1904"/>
      <c r="H269" s="1904"/>
      <c r="I269" s="1904"/>
      <c r="J269" s="1904"/>
      <c r="K269" s="1904"/>
      <c r="L269" s="1904"/>
      <c r="M269" s="1904"/>
      <c r="N269" s="1904"/>
      <c r="O269" s="1905"/>
    </row>
    <row r="270" spans="2:15" x14ac:dyDescent="0.3">
      <c r="B270" s="1894"/>
      <c r="C270" s="1897"/>
      <c r="D270" s="120" t="s">
        <v>287</v>
      </c>
      <c r="E270" s="1903"/>
      <c r="F270" s="1904"/>
      <c r="G270" s="1904"/>
      <c r="H270" s="1904"/>
      <c r="I270" s="1904"/>
      <c r="J270" s="1904"/>
      <c r="K270" s="1904"/>
      <c r="L270" s="1904"/>
      <c r="M270" s="1904"/>
      <c r="N270" s="1904"/>
      <c r="O270" s="1905"/>
    </row>
    <row r="271" spans="2:15" x14ac:dyDescent="0.3">
      <c r="B271" s="1894"/>
      <c r="C271" s="1897"/>
      <c r="D271" s="120" t="s">
        <v>288</v>
      </c>
      <c r="E271" s="1903"/>
      <c r="F271" s="1904"/>
      <c r="G271" s="1904"/>
      <c r="H271" s="1904"/>
      <c r="I271" s="1904"/>
      <c r="J271" s="1904"/>
      <c r="K271" s="1904"/>
      <c r="L271" s="1904"/>
      <c r="M271" s="1904"/>
      <c r="N271" s="1904"/>
      <c r="O271" s="1905"/>
    </row>
    <row r="272" spans="2:15" x14ac:dyDescent="0.3">
      <c r="B272" s="1894"/>
      <c r="C272" s="1897"/>
      <c r="D272" s="120" t="s">
        <v>289</v>
      </c>
      <c r="E272" s="1903"/>
      <c r="F272" s="1904"/>
      <c r="G272" s="1904"/>
      <c r="H272" s="1904"/>
      <c r="I272" s="1904"/>
      <c r="J272" s="1904"/>
      <c r="K272" s="1904"/>
      <c r="L272" s="1904"/>
      <c r="M272" s="1904"/>
      <c r="N272" s="1904"/>
      <c r="O272" s="1905"/>
    </row>
    <row r="273" spans="2:15" x14ac:dyDescent="0.3">
      <c r="B273" s="1895"/>
      <c r="C273" s="1898"/>
      <c r="D273" s="120" t="s">
        <v>290</v>
      </c>
      <c r="E273" s="1903"/>
      <c r="F273" s="1904"/>
      <c r="G273" s="1904"/>
      <c r="H273" s="1904"/>
      <c r="I273" s="1904"/>
      <c r="J273" s="1904"/>
      <c r="K273" s="1904"/>
      <c r="L273" s="1904"/>
      <c r="M273" s="1904"/>
      <c r="N273" s="1904"/>
      <c r="O273" s="1905"/>
    </row>
    <row r="274" spans="2:15" x14ac:dyDescent="0.3">
      <c r="B274" s="1893">
        <f>B262+1</f>
        <v>2</v>
      </c>
      <c r="C274" s="1896"/>
      <c r="D274" s="120" t="s">
        <v>279</v>
      </c>
      <c r="E274" s="1903"/>
      <c r="F274" s="1904"/>
      <c r="G274" s="1904"/>
      <c r="H274" s="1904"/>
      <c r="I274" s="1904"/>
      <c r="J274" s="1904"/>
      <c r="K274" s="1904"/>
      <c r="L274" s="1904"/>
      <c r="M274" s="1904"/>
      <c r="N274" s="1904"/>
      <c r="O274" s="1905"/>
    </row>
    <row r="275" spans="2:15" x14ac:dyDescent="0.3">
      <c r="B275" s="1894"/>
      <c r="C275" s="1897"/>
      <c r="D275" s="120" t="s">
        <v>280</v>
      </c>
      <c r="E275" s="1903"/>
      <c r="F275" s="1904"/>
      <c r="G275" s="1904"/>
      <c r="H275" s="1904"/>
      <c r="I275" s="1904"/>
      <c r="J275" s="1904"/>
      <c r="K275" s="1904"/>
      <c r="L275" s="1904"/>
      <c r="M275" s="1904"/>
      <c r="N275" s="1904"/>
      <c r="O275" s="1905"/>
    </row>
    <row r="276" spans="2:15" x14ac:dyDescent="0.3">
      <c r="B276" s="1894"/>
      <c r="C276" s="1897"/>
      <c r="D276" s="120" t="s">
        <v>281</v>
      </c>
      <c r="E276" s="1903"/>
      <c r="F276" s="1904"/>
      <c r="G276" s="1904"/>
      <c r="H276" s="1904"/>
      <c r="I276" s="1904"/>
      <c r="J276" s="1904"/>
      <c r="K276" s="1904"/>
      <c r="L276" s="1904"/>
      <c r="M276" s="1904"/>
      <c r="N276" s="1904"/>
      <c r="O276" s="1905"/>
    </row>
    <row r="277" spans="2:15" x14ac:dyDescent="0.3">
      <c r="B277" s="1894"/>
      <c r="C277" s="1897"/>
      <c r="D277" s="120" t="s">
        <v>568</v>
      </c>
      <c r="E277" s="1903"/>
      <c r="F277" s="1904"/>
      <c r="G277" s="1904"/>
      <c r="H277" s="1904"/>
      <c r="I277" s="1904"/>
      <c r="J277" s="1904"/>
      <c r="K277" s="1904"/>
      <c r="L277" s="1904"/>
      <c r="M277" s="1904"/>
      <c r="N277" s="1904"/>
      <c r="O277" s="1905"/>
    </row>
    <row r="278" spans="2:15" x14ac:dyDescent="0.3">
      <c r="B278" s="1894"/>
      <c r="C278" s="1897"/>
      <c r="D278" s="120" t="s">
        <v>283</v>
      </c>
      <c r="E278" s="1903"/>
      <c r="F278" s="1904"/>
      <c r="G278" s="1904"/>
      <c r="H278" s="1904"/>
      <c r="I278" s="1904"/>
      <c r="J278" s="1904"/>
      <c r="K278" s="1904"/>
      <c r="L278" s="1904"/>
      <c r="M278" s="1904"/>
      <c r="N278" s="1904"/>
      <c r="O278" s="1905"/>
    </row>
    <row r="279" spans="2:15" x14ac:dyDescent="0.3">
      <c r="B279" s="1894"/>
      <c r="C279" s="1897"/>
      <c r="D279" s="120" t="s">
        <v>284</v>
      </c>
      <c r="E279" s="1903"/>
      <c r="F279" s="1904"/>
      <c r="G279" s="1904"/>
      <c r="H279" s="1904"/>
      <c r="I279" s="1904"/>
      <c r="J279" s="1904"/>
      <c r="K279" s="1904"/>
      <c r="L279" s="1904"/>
      <c r="M279" s="1904"/>
      <c r="N279" s="1904"/>
      <c r="O279" s="1905"/>
    </row>
    <row r="280" spans="2:15" x14ac:dyDescent="0.3">
      <c r="B280" s="1894"/>
      <c r="C280" s="1897"/>
      <c r="D280" s="120" t="s">
        <v>285</v>
      </c>
      <c r="E280" s="1903"/>
      <c r="F280" s="1904"/>
      <c r="G280" s="1904"/>
      <c r="H280" s="1904"/>
      <c r="I280" s="1904"/>
      <c r="J280" s="1904"/>
      <c r="K280" s="1904"/>
      <c r="L280" s="1904"/>
      <c r="M280" s="1904"/>
      <c r="N280" s="1904"/>
      <c r="O280" s="1905"/>
    </row>
    <row r="281" spans="2:15" x14ac:dyDescent="0.3">
      <c r="B281" s="1894"/>
      <c r="C281" s="1897"/>
      <c r="D281" s="120" t="s">
        <v>569</v>
      </c>
      <c r="E281" s="1903"/>
      <c r="F281" s="1904"/>
      <c r="G281" s="1904"/>
      <c r="H281" s="1904"/>
      <c r="I281" s="1904"/>
      <c r="J281" s="1904"/>
      <c r="K281" s="1904"/>
      <c r="L281" s="1904"/>
      <c r="M281" s="1904"/>
      <c r="N281" s="1904"/>
      <c r="O281" s="1905"/>
    </row>
    <row r="282" spans="2:15" x14ac:dyDescent="0.3">
      <c r="B282" s="1894"/>
      <c r="C282" s="1897"/>
      <c r="D282" s="120" t="s">
        <v>287</v>
      </c>
      <c r="E282" s="1903"/>
      <c r="F282" s="1904"/>
      <c r="G282" s="1904"/>
      <c r="H282" s="1904"/>
      <c r="I282" s="1904"/>
      <c r="J282" s="1904"/>
      <c r="K282" s="1904"/>
      <c r="L282" s="1904"/>
      <c r="M282" s="1904"/>
      <c r="N282" s="1904"/>
      <c r="O282" s="1905"/>
    </row>
    <row r="283" spans="2:15" x14ac:dyDescent="0.3">
      <c r="B283" s="1894"/>
      <c r="C283" s="1897"/>
      <c r="D283" s="120" t="s">
        <v>288</v>
      </c>
      <c r="E283" s="1903"/>
      <c r="F283" s="1904"/>
      <c r="G283" s="1904"/>
      <c r="H283" s="1904"/>
      <c r="I283" s="1904"/>
      <c r="J283" s="1904"/>
      <c r="K283" s="1904"/>
      <c r="L283" s="1904"/>
      <c r="M283" s="1904"/>
      <c r="N283" s="1904"/>
      <c r="O283" s="1905"/>
    </row>
    <row r="284" spans="2:15" x14ac:dyDescent="0.3">
      <c r="B284" s="1894"/>
      <c r="C284" s="1897"/>
      <c r="D284" s="120" t="s">
        <v>289</v>
      </c>
      <c r="E284" s="1903"/>
      <c r="F284" s="1904"/>
      <c r="G284" s="1904"/>
      <c r="H284" s="1904"/>
      <c r="I284" s="1904"/>
      <c r="J284" s="1904"/>
      <c r="K284" s="1904"/>
      <c r="L284" s="1904"/>
      <c r="M284" s="1904"/>
      <c r="N284" s="1904"/>
      <c r="O284" s="1905"/>
    </row>
    <row r="285" spans="2:15" x14ac:dyDescent="0.3">
      <c r="B285" s="1895"/>
      <c r="C285" s="1898"/>
      <c r="D285" s="120" t="s">
        <v>290</v>
      </c>
      <c r="E285" s="1903"/>
      <c r="F285" s="1904"/>
      <c r="G285" s="1904"/>
      <c r="H285" s="1904"/>
      <c r="I285" s="1904"/>
      <c r="J285" s="1904"/>
      <c r="K285" s="1904"/>
      <c r="L285" s="1904"/>
      <c r="M285" s="1904"/>
      <c r="N285" s="1904"/>
      <c r="O285" s="1905"/>
    </row>
    <row r="286" spans="2:15" x14ac:dyDescent="0.3">
      <c r="B286" s="94">
        <v>3</v>
      </c>
      <c r="C286" s="119"/>
      <c r="D286" s="119"/>
      <c r="E286" s="1903"/>
      <c r="F286" s="1904"/>
      <c r="G286" s="1904"/>
      <c r="H286" s="1904"/>
      <c r="I286" s="1904"/>
      <c r="J286" s="1904"/>
      <c r="K286" s="1904"/>
      <c r="L286" s="1904"/>
      <c r="M286" s="1904"/>
      <c r="N286" s="1904"/>
      <c r="O286" s="1905"/>
    </row>
    <row r="287" spans="2:15" x14ac:dyDescent="0.3">
      <c r="B287" s="94" t="s">
        <v>474</v>
      </c>
      <c r="C287" s="121"/>
      <c r="D287" s="121"/>
      <c r="E287" s="1906"/>
      <c r="F287" s="1907"/>
      <c r="G287" s="1907"/>
      <c r="H287" s="1907"/>
      <c r="I287" s="1907"/>
      <c r="J287" s="1907"/>
      <c r="K287" s="1907"/>
      <c r="L287" s="1907"/>
      <c r="M287" s="1907"/>
      <c r="N287" s="1907"/>
      <c r="O287" s="1908"/>
    </row>
    <row r="289" spans="2:15" x14ac:dyDescent="0.3">
      <c r="B289" s="247" t="s">
        <v>570</v>
      </c>
    </row>
    <row r="290" spans="2:15" x14ac:dyDescent="0.3">
      <c r="B290" s="247" t="s">
        <v>637</v>
      </c>
    </row>
    <row r="291" spans="2:15" x14ac:dyDescent="0.3">
      <c r="B291" s="247" t="s">
        <v>571</v>
      </c>
    </row>
    <row r="292" spans="2:15" x14ac:dyDescent="0.3">
      <c r="B292" s="247" t="s">
        <v>639</v>
      </c>
    </row>
    <row r="295" spans="2:15" x14ac:dyDescent="0.3">
      <c r="B295" s="1899" t="s">
        <v>1127</v>
      </c>
      <c r="C295" s="1899"/>
      <c r="D295" s="691"/>
      <c r="E295" s="14"/>
      <c r="F295" s="14"/>
      <c r="G295" s="14"/>
      <c r="H295" s="14"/>
      <c r="I295" s="14"/>
      <c r="J295" s="14"/>
      <c r="K295" s="14"/>
      <c r="L295" s="14"/>
    </row>
    <row r="297" spans="2:15" ht="56" x14ac:dyDescent="0.3">
      <c r="B297" s="1600" t="s">
        <v>340</v>
      </c>
      <c r="C297" s="1600" t="s">
        <v>556</v>
      </c>
      <c r="D297" s="1600" t="s">
        <v>567</v>
      </c>
      <c r="E297" s="685" t="s">
        <v>638</v>
      </c>
      <c r="F297" s="1593" t="s">
        <v>557</v>
      </c>
      <c r="G297" s="1593"/>
      <c r="H297" s="1593"/>
      <c r="I297" s="1593"/>
      <c r="J297" s="1593"/>
      <c r="K297" s="1593" t="s">
        <v>561</v>
      </c>
      <c r="L297" s="1593"/>
      <c r="M297" s="1593"/>
      <c r="N297" s="1593" t="s">
        <v>565</v>
      </c>
      <c r="O297" s="1593" t="s">
        <v>566</v>
      </c>
    </row>
    <row r="298" spans="2:15" ht="28" x14ac:dyDescent="0.3">
      <c r="B298" s="1642"/>
      <c r="C298" s="1642"/>
      <c r="D298" s="1642"/>
      <c r="E298" s="686" t="s">
        <v>640</v>
      </c>
      <c r="F298" s="683" t="s">
        <v>563</v>
      </c>
      <c r="G298" s="683" t="s">
        <v>558</v>
      </c>
      <c r="H298" s="683" t="s">
        <v>642</v>
      </c>
      <c r="I298" s="686" t="s">
        <v>559</v>
      </c>
      <c r="J298" s="686" t="s">
        <v>560</v>
      </c>
      <c r="K298" s="686" t="s">
        <v>562</v>
      </c>
      <c r="L298" s="686" t="s">
        <v>564</v>
      </c>
      <c r="M298" s="686" t="s">
        <v>641</v>
      </c>
      <c r="N298" s="1593"/>
      <c r="O298" s="1593"/>
    </row>
    <row r="299" spans="2:15" x14ac:dyDescent="0.3">
      <c r="B299" s="1893">
        <f>B298+1</f>
        <v>1</v>
      </c>
      <c r="C299" s="1896"/>
      <c r="D299" s="120" t="s">
        <v>279</v>
      </c>
      <c r="E299" s="1900" t="s">
        <v>773</v>
      </c>
      <c r="F299" s="1901"/>
      <c r="G299" s="1901"/>
      <c r="H299" s="1901"/>
      <c r="I299" s="1901"/>
      <c r="J299" s="1901"/>
      <c r="K299" s="1901"/>
      <c r="L299" s="1901"/>
      <c r="M299" s="1901"/>
      <c r="N299" s="1901"/>
      <c r="O299" s="1902"/>
    </row>
    <row r="300" spans="2:15" x14ac:dyDescent="0.3">
      <c r="B300" s="1894"/>
      <c r="C300" s="1897"/>
      <c r="D300" s="120" t="s">
        <v>280</v>
      </c>
      <c r="E300" s="1903"/>
      <c r="F300" s="1904"/>
      <c r="G300" s="1904"/>
      <c r="H300" s="1904"/>
      <c r="I300" s="1904"/>
      <c r="J300" s="1904"/>
      <c r="K300" s="1904"/>
      <c r="L300" s="1904"/>
      <c r="M300" s="1904"/>
      <c r="N300" s="1904"/>
      <c r="O300" s="1905"/>
    </row>
    <row r="301" spans="2:15" x14ac:dyDescent="0.3">
      <c r="B301" s="1894"/>
      <c r="C301" s="1897"/>
      <c r="D301" s="120" t="s">
        <v>281</v>
      </c>
      <c r="E301" s="1903"/>
      <c r="F301" s="1904"/>
      <c r="G301" s="1904"/>
      <c r="H301" s="1904"/>
      <c r="I301" s="1904"/>
      <c r="J301" s="1904"/>
      <c r="K301" s="1904"/>
      <c r="L301" s="1904"/>
      <c r="M301" s="1904"/>
      <c r="N301" s="1904"/>
      <c r="O301" s="1905"/>
    </row>
    <row r="302" spans="2:15" x14ac:dyDescent="0.3">
      <c r="B302" s="1894"/>
      <c r="C302" s="1897"/>
      <c r="D302" s="120" t="s">
        <v>568</v>
      </c>
      <c r="E302" s="1903"/>
      <c r="F302" s="1904"/>
      <c r="G302" s="1904"/>
      <c r="H302" s="1904"/>
      <c r="I302" s="1904"/>
      <c r="J302" s="1904"/>
      <c r="K302" s="1904"/>
      <c r="L302" s="1904"/>
      <c r="M302" s="1904"/>
      <c r="N302" s="1904"/>
      <c r="O302" s="1905"/>
    </row>
    <row r="303" spans="2:15" x14ac:dyDescent="0.3">
      <c r="B303" s="1894"/>
      <c r="C303" s="1897"/>
      <c r="D303" s="120" t="s">
        <v>283</v>
      </c>
      <c r="E303" s="1903"/>
      <c r="F303" s="1904"/>
      <c r="G303" s="1904"/>
      <c r="H303" s="1904"/>
      <c r="I303" s="1904"/>
      <c r="J303" s="1904"/>
      <c r="K303" s="1904"/>
      <c r="L303" s="1904"/>
      <c r="M303" s="1904"/>
      <c r="N303" s="1904"/>
      <c r="O303" s="1905"/>
    </row>
    <row r="304" spans="2:15" x14ac:dyDescent="0.3">
      <c r="B304" s="1894"/>
      <c r="C304" s="1897"/>
      <c r="D304" s="120" t="s">
        <v>284</v>
      </c>
      <c r="E304" s="1903"/>
      <c r="F304" s="1904"/>
      <c r="G304" s="1904"/>
      <c r="H304" s="1904"/>
      <c r="I304" s="1904"/>
      <c r="J304" s="1904"/>
      <c r="K304" s="1904"/>
      <c r="L304" s="1904"/>
      <c r="M304" s="1904"/>
      <c r="N304" s="1904"/>
      <c r="O304" s="1905"/>
    </row>
    <row r="305" spans="2:15" x14ac:dyDescent="0.3">
      <c r="B305" s="1894"/>
      <c r="C305" s="1897"/>
      <c r="D305" s="120" t="s">
        <v>285</v>
      </c>
      <c r="E305" s="1903"/>
      <c r="F305" s="1904"/>
      <c r="G305" s="1904"/>
      <c r="H305" s="1904"/>
      <c r="I305" s="1904"/>
      <c r="J305" s="1904"/>
      <c r="K305" s="1904"/>
      <c r="L305" s="1904"/>
      <c r="M305" s="1904"/>
      <c r="N305" s="1904"/>
      <c r="O305" s="1905"/>
    </row>
    <row r="306" spans="2:15" x14ac:dyDescent="0.3">
      <c r="B306" s="1894"/>
      <c r="C306" s="1897"/>
      <c r="D306" s="120" t="s">
        <v>569</v>
      </c>
      <c r="E306" s="1903"/>
      <c r="F306" s="1904"/>
      <c r="G306" s="1904"/>
      <c r="H306" s="1904"/>
      <c r="I306" s="1904"/>
      <c r="J306" s="1904"/>
      <c r="K306" s="1904"/>
      <c r="L306" s="1904"/>
      <c r="M306" s="1904"/>
      <c r="N306" s="1904"/>
      <c r="O306" s="1905"/>
    </row>
    <row r="307" spans="2:15" x14ac:dyDescent="0.3">
      <c r="B307" s="1894"/>
      <c r="C307" s="1897"/>
      <c r="D307" s="120" t="s">
        <v>287</v>
      </c>
      <c r="E307" s="1903"/>
      <c r="F307" s="1904"/>
      <c r="G307" s="1904"/>
      <c r="H307" s="1904"/>
      <c r="I307" s="1904"/>
      <c r="J307" s="1904"/>
      <c r="K307" s="1904"/>
      <c r="L307" s="1904"/>
      <c r="M307" s="1904"/>
      <c r="N307" s="1904"/>
      <c r="O307" s="1905"/>
    </row>
    <row r="308" spans="2:15" x14ac:dyDescent="0.3">
      <c r="B308" s="1894"/>
      <c r="C308" s="1897"/>
      <c r="D308" s="120" t="s">
        <v>288</v>
      </c>
      <c r="E308" s="1903"/>
      <c r="F308" s="1904"/>
      <c r="G308" s="1904"/>
      <c r="H308" s="1904"/>
      <c r="I308" s="1904"/>
      <c r="J308" s="1904"/>
      <c r="K308" s="1904"/>
      <c r="L308" s="1904"/>
      <c r="M308" s="1904"/>
      <c r="N308" s="1904"/>
      <c r="O308" s="1905"/>
    </row>
    <row r="309" spans="2:15" x14ac:dyDescent="0.3">
      <c r="B309" s="1894"/>
      <c r="C309" s="1897"/>
      <c r="D309" s="120" t="s">
        <v>289</v>
      </c>
      <c r="E309" s="1903"/>
      <c r="F309" s="1904"/>
      <c r="G309" s="1904"/>
      <c r="H309" s="1904"/>
      <c r="I309" s="1904"/>
      <c r="J309" s="1904"/>
      <c r="K309" s="1904"/>
      <c r="L309" s="1904"/>
      <c r="M309" s="1904"/>
      <c r="N309" s="1904"/>
      <c r="O309" s="1905"/>
    </row>
    <row r="310" spans="2:15" x14ac:dyDescent="0.3">
      <c r="B310" s="1895"/>
      <c r="C310" s="1898"/>
      <c r="D310" s="120" t="s">
        <v>290</v>
      </c>
      <c r="E310" s="1903"/>
      <c r="F310" s="1904"/>
      <c r="G310" s="1904"/>
      <c r="H310" s="1904"/>
      <c r="I310" s="1904"/>
      <c r="J310" s="1904"/>
      <c r="K310" s="1904"/>
      <c r="L310" s="1904"/>
      <c r="M310" s="1904"/>
      <c r="N310" s="1904"/>
      <c r="O310" s="1905"/>
    </row>
    <row r="311" spans="2:15" x14ac:dyDescent="0.3">
      <c r="B311" s="1893">
        <f>B299+1</f>
        <v>2</v>
      </c>
      <c r="C311" s="1896"/>
      <c r="D311" s="120" t="s">
        <v>279</v>
      </c>
      <c r="E311" s="1903"/>
      <c r="F311" s="1904"/>
      <c r="G311" s="1904"/>
      <c r="H311" s="1904"/>
      <c r="I311" s="1904"/>
      <c r="J311" s="1904"/>
      <c r="K311" s="1904"/>
      <c r="L311" s="1904"/>
      <c r="M311" s="1904"/>
      <c r="N311" s="1904"/>
      <c r="O311" s="1905"/>
    </row>
    <row r="312" spans="2:15" x14ac:dyDescent="0.3">
      <c r="B312" s="1894"/>
      <c r="C312" s="1897"/>
      <c r="D312" s="120" t="s">
        <v>280</v>
      </c>
      <c r="E312" s="1903"/>
      <c r="F312" s="1904"/>
      <c r="G312" s="1904"/>
      <c r="H312" s="1904"/>
      <c r="I312" s="1904"/>
      <c r="J312" s="1904"/>
      <c r="K312" s="1904"/>
      <c r="L312" s="1904"/>
      <c r="M312" s="1904"/>
      <c r="N312" s="1904"/>
      <c r="O312" s="1905"/>
    </row>
    <row r="313" spans="2:15" x14ac:dyDescent="0.3">
      <c r="B313" s="1894"/>
      <c r="C313" s="1897"/>
      <c r="D313" s="120" t="s">
        <v>281</v>
      </c>
      <c r="E313" s="1903"/>
      <c r="F313" s="1904"/>
      <c r="G313" s="1904"/>
      <c r="H313" s="1904"/>
      <c r="I313" s="1904"/>
      <c r="J313" s="1904"/>
      <c r="K313" s="1904"/>
      <c r="L313" s="1904"/>
      <c r="M313" s="1904"/>
      <c r="N313" s="1904"/>
      <c r="O313" s="1905"/>
    </row>
    <row r="314" spans="2:15" x14ac:dyDescent="0.3">
      <c r="B314" s="1894"/>
      <c r="C314" s="1897"/>
      <c r="D314" s="120" t="s">
        <v>568</v>
      </c>
      <c r="E314" s="1903"/>
      <c r="F314" s="1904"/>
      <c r="G314" s="1904"/>
      <c r="H314" s="1904"/>
      <c r="I314" s="1904"/>
      <c r="J314" s="1904"/>
      <c r="K314" s="1904"/>
      <c r="L314" s="1904"/>
      <c r="M314" s="1904"/>
      <c r="N314" s="1904"/>
      <c r="O314" s="1905"/>
    </row>
    <row r="315" spans="2:15" x14ac:dyDescent="0.3">
      <c r="B315" s="1894"/>
      <c r="C315" s="1897"/>
      <c r="D315" s="120" t="s">
        <v>283</v>
      </c>
      <c r="E315" s="1903"/>
      <c r="F315" s="1904"/>
      <c r="G315" s="1904"/>
      <c r="H315" s="1904"/>
      <c r="I315" s="1904"/>
      <c r="J315" s="1904"/>
      <c r="K315" s="1904"/>
      <c r="L315" s="1904"/>
      <c r="M315" s="1904"/>
      <c r="N315" s="1904"/>
      <c r="O315" s="1905"/>
    </row>
    <row r="316" spans="2:15" x14ac:dyDescent="0.3">
      <c r="B316" s="1894"/>
      <c r="C316" s="1897"/>
      <c r="D316" s="120" t="s">
        <v>284</v>
      </c>
      <c r="E316" s="1903"/>
      <c r="F316" s="1904"/>
      <c r="G316" s="1904"/>
      <c r="H316" s="1904"/>
      <c r="I316" s="1904"/>
      <c r="J316" s="1904"/>
      <c r="K316" s="1904"/>
      <c r="L316" s="1904"/>
      <c r="M316" s="1904"/>
      <c r="N316" s="1904"/>
      <c r="O316" s="1905"/>
    </row>
    <row r="317" spans="2:15" x14ac:dyDescent="0.3">
      <c r="B317" s="1894"/>
      <c r="C317" s="1897"/>
      <c r="D317" s="120" t="s">
        <v>285</v>
      </c>
      <c r="E317" s="1903"/>
      <c r="F317" s="1904"/>
      <c r="G317" s="1904"/>
      <c r="H317" s="1904"/>
      <c r="I317" s="1904"/>
      <c r="J317" s="1904"/>
      <c r="K317" s="1904"/>
      <c r="L317" s="1904"/>
      <c r="M317" s="1904"/>
      <c r="N317" s="1904"/>
      <c r="O317" s="1905"/>
    </row>
    <row r="318" spans="2:15" x14ac:dyDescent="0.3">
      <c r="B318" s="1894"/>
      <c r="C318" s="1897"/>
      <c r="D318" s="120" t="s">
        <v>569</v>
      </c>
      <c r="E318" s="1903"/>
      <c r="F318" s="1904"/>
      <c r="G318" s="1904"/>
      <c r="H318" s="1904"/>
      <c r="I318" s="1904"/>
      <c r="J318" s="1904"/>
      <c r="K318" s="1904"/>
      <c r="L318" s="1904"/>
      <c r="M318" s="1904"/>
      <c r="N318" s="1904"/>
      <c r="O318" s="1905"/>
    </row>
    <row r="319" spans="2:15" x14ac:dyDescent="0.3">
      <c r="B319" s="1894"/>
      <c r="C319" s="1897"/>
      <c r="D319" s="120" t="s">
        <v>287</v>
      </c>
      <c r="E319" s="1903"/>
      <c r="F319" s="1904"/>
      <c r="G319" s="1904"/>
      <c r="H319" s="1904"/>
      <c r="I319" s="1904"/>
      <c r="J319" s="1904"/>
      <c r="K319" s="1904"/>
      <c r="L319" s="1904"/>
      <c r="M319" s="1904"/>
      <c r="N319" s="1904"/>
      <c r="O319" s="1905"/>
    </row>
    <row r="320" spans="2:15" x14ac:dyDescent="0.3">
      <c r="B320" s="1894"/>
      <c r="C320" s="1897"/>
      <c r="D320" s="120" t="s">
        <v>288</v>
      </c>
      <c r="E320" s="1903"/>
      <c r="F320" s="1904"/>
      <c r="G320" s="1904"/>
      <c r="H320" s="1904"/>
      <c r="I320" s="1904"/>
      <c r="J320" s="1904"/>
      <c r="K320" s="1904"/>
      <c r="L320" s="1904"/>
      <c r="M320" s="1904"/>
      <c r="N320" s="1904"/>
      <c r="O320" s="1905"/>
    </row>
    <row r="321" spans="2:15" x14ac:dyDescent="0.3">
      <c r="B321" s="1894"/>
      <c r="C321" s="1897"/>
      <c r="D321" s="120" t="s">
        <v>289</v>
      </c>
      <c r="E321" s="1903"/>
      <c r="F321" s="1904"/>
      <c r="G321" s="1904"/>
      <c r="H321" s="1904"/>
      <c r="I321" s="1904"/>
      <c r="J321" s="1904"/>
      <c r="K321" s="1904"/>
      <c r="L321" s="1904"/>
      <c r="M321" s="1904"/>
      <c r="N321" s="1904"/>
      <c r="O321" s="1905"/>
    </row>
    <row r="322" spans="2:15" x14ac:dyDescent="0.3">
      <c r="B322" s="1895"/>
      <c r="C322" s="1898"/>
      <c r="D322" s="120" t="s">
        <v>290</v>
      </c>
      <c r="E322" s="1903"/>
      <c r="F322" s="1904"/>
      <c r="G322" s="1904"/>
      <c r="H322" s="1904"/>
      <c r="I322" s="1904"/>
      <c r="J322" s="1904"/>
      <c r="K322" s="1904"/>
      <c r="L322" s="1904"/>
      <c r="M322" s="1904"/>
      <c r="N322" s="1904"/>
      <c r="O322" s="1905"/>
    </row>
    <row r="323" spans="2:15" x14ac:dyDescent="0.3">
      <c r="B323" s="94">
        <v>3</v>
      </c>
      <c r="C323" s="119"/>
      <c r="D323" s="119"/>
      <c r="E323" s="1903"/>
      <c r="F323" s="1904"/>
      <c r="G323" s="1904"/>
      <c r="H323" s="1904"/>
      <c r="I323" s="1904"/>
      <c r="J323" s="1904"/>
      <c r="K323" s="1904"/>
      <c r="L323" s="1904"/>
      <c r="M323" s="1904"/>
      <c r="N323" s="1904"/>
      <c r="O323" s="1905"/>
    </row>
    <row r="324" spans="2:15" x14ac:dyDescent="0.3">
      <c r="B324" s="94" t="s">
        <v>474</v>
      </c>
      <c r="C324" s="121"/>
      <c r="D324" s="121"/>
      <c r="E324" s="1906"/>
      <c r="F324" s="1907"/>
      <c r="G324" s="1907"/>
      <c r="H324" s="1907"/>
      <c r="I324" s="1907"/>
      <c r="J324" s="1907"/>
      <c r="K324" s="1907"/>
      <c r="L324" s="1907"/>
      <c r="M324" s="1907"/>
      <c r="N324" s="1907"/>
      <c r="O324" s="1908"/>
    </row>
    <row r="326" spans="2:15" x14ac:dyDescent="0.3">
      <c r="B326" s="247" t="s">
        <v>570</v>
      </c>
    </row>
    <row r="327" spans="2:15" x14ac:dyDescent="0.3">
      <c r="B327" s="247" t="s">
        <v>637</v>
      </c>
    </row>
    <row r="328" spans="2:15" x14ac:dyDescent="0.3">
      <c r="B328" s="247" t="s">
        <v>571</v>
      </c>
    </row>
    <row r="329" spans="2:15" x14ac:dyDescent="0.3">
      <c r="B329" s="247" t="s">
        <v>639</v>
      </c>
    </row>
    <row r="333" spans="2:15" x14ac:dyDescent="0.3">
      <c r="B333" s="1899" t="s">
        <v>1128</v>
      </c>
      <c r="C333" s="1899"/>
      <c r="D333" s="691"/>
      <c r="E333" s="14"/>
      <c r="F333" s="14"/>
      <c r="G333" s="14"/>
      <c r="H333" s="14"/>
      <c r="I333" s="14"/>
      <c r="J333" s="14"/>
      <c r="K333" s="14"/>
      <c r="L333" s="14"/>
    </row>
    <row r="335" spans="2:15" ht="56" x14ac:dyDescent="0.3">
      <c r="B335" s="1600" t="s">
        <v>340</v>
      </c>
      <c r="C335" s="1600" t="s">
        <v>556</v>
      </c>
      <c r="D335" s="1600" t="s">
        <v>567</v>
      </c>
      <c r="E335" s="685" t="s">
        <v>638</v>
      </c>
      <c r="F335" s="1593" t="s">
        <v>557</v>
      </c>
      <c r="G335" s="1593"/>
      <c r="H335" s="1593"/>
      <c r="I335" s="1593"/>
      <c r="J335" s="1593"/>
      <c r="K335" s="1593" t="s">
        <v>561</v>
      </c>
      <c r="L335" s="1593"/>
      <c r="M335" s="1593"/>
      <c r="N335" s="1593" t="s">
        <v>565</v>
      </c>
      <c r="O335" s="1593" t="s">
        <v>566</v>
      </c>
    </row>
    <row r="336" spans="2:15" ht="28" x14ac:dyDescent="0.3">
      <c r="B336" s="1642"/>
      <c r="C336" s="1642"/>
      <c r="D336" s="1642"/>
      <c r="E336" s="686" t="s">
        <v>640</v>
      </c>
      <c r="F336" s="683" t="s">
        <v>563</v>
      </c>
      <c r="G336" s="683" t="s">
        <v>558</v>
      </c>
      <c r="H336" s="683" t="s">
        <v>642</v>
      </c>
      <c r="I336" s="686" t="s">
        <v>559</v>
      </c>
      <c r="J336" s="686" t="s">
        <v>560</v>
      </c>
      <c r="K336" s="686" t="s">
        <v>562</v>
      </c>
      <c r="L336" s="686" t="s">
        <v>564</v>
      </c>
      <c r="M336" s="686" t="s">
        <v>641</v>
      </c>
      <c r="N336" s="1593"/>
      <c r="O336" s="1593"/>
    </row>
    <row r="337" spans="2:15" x14ac:dyDescent="0.3">
      <c r="B337" s="1893">
        <f>B336+1</f>
        <v>1</v>
      </c>
      <c r="C337" s="1896"/>
      <c r="D337" s="120" t="s">
        <v>279</v>
      </c>
      <c r="E337" s="1900" t="s">
        <v>773</v>
      </c>
      <c r="F337" s="1901"/>
      <c r="G337" s="1901"/>
      <c r="H337" s="1901"/>
      <c r="I337" s="1901"/>
      <c r="J337" s="1901"/>
      <c r="K337" s="1901"/>
      <c r="L337" s="1901"/>
      <c r="M337" s="1901"/>
      <c r="N337" s="1901"/>
      <c r="O337" s="1902"/>
    </row>
    <row r="338" spans="2:15" x14ac:dyDescent="0.3">
      <c r="B338" s="1894"/>
      <c r="C338" s="1897"/>
      <c r="D338" s="120" t="s">
        <v>280</v>
      </c>
      <c r="E338" s="1903"/>
      <c r="F338" s="1904"/>
      <c r="G338" s="1904"/>
      <c r="H338" s="1904"/>
      <c r="I338" s="1904"/>
      <c r="J338" s="1904"/>
      <c r="K338" s="1904"/>
      <c r="L338" s="1904"/>
      <c r="M338" s="1904"/>
      <c r="N338" s="1904"/>
      <c r="O338" s="1905"/>
    </row>
    <row r="339" spans="2:15" x14ac:dyDescent="0.3">
      <c r="B339" s="1894"/>
      <c r="C339" s="1897"/>
      <c r="D339" s="120" t="s">
        <v>281</v>
      </c>
      <c r="E339" s="1903"/>
      <c r="F339" s="1904"/>
      <c r="G339" s="1904"/>
      <c r="H339" s="1904"/>
      <c r="I339" s="1904"/>
      <c r="J339" s="1904"/>
      <c r="K339" s="1904"/>
      <c r="L339" s="1904"/>
      <c r="M339" s="1904"/>
      <c r="N339" s="1904"/>
      <c r="O339" s="1905"/>
    </row>
    <row r="340" spans="2:15" x14ac:dyDescent="0.3">
      <c r="B340" s="1894"/>
      <c r="C340" s="1897"/>
      <c r="D340" s="120" t="s">
        <v>568</v>
      </c>
      <c r="E340" s="1903"/>
      <c r="F340" s="1904"/>
      <c r="G340" s="1904"/>
      <c r="H340" s="1904"/>
      <c r="I340" s="1904"/>
      <c r="J340" s="1904"/>
      <c r="K340" s="1904"/>
      <c r="L340" s="1904"/>
      <c r="M340" s="1904"/>
      <c r="N340" s="1904"/>
      <c r="O340" s="1905"/>
    </row>
    <row r="341" spans="2:15" x14ac:dyDescent="0.3">
      <c r="B341" s="1894"/>
      <c r="C341" s="1897"/>
      <c r="D341" s="120" t="s">
        <v>283</v>
      </c>
      <c r="E341" s="1903"/>
      <c r="F341" s="1904"/>
      <c r="G341" s="1904"/>
      <c r="H341" s="1904"/>
      <c r="I341" s="1904"/>
      <c r="J341" s="1904"/>
      <c r="K341" s="1904"/>
      <c r="L341" s="1904"/>
      <c r="M341" s="1904"/>
      <c r="N341" s="1904"/>
      <c r="O341" s="1905"/>
    </row>
    <row r="342" spans="2:15" x14ac:dyDescent="0.3">
      <c r="B342" s="1894"/>
      <c r="C342" s="1897"/>
      <c r="D342" s="120" t="s">
        <v>284</v>
      </c>
      <c r="E342" s="1903"/>
      <c r="F342" s="1904"/>
      <c r="G342" s="1904"/>
      <c r="H342" s="1904"/>
      <c r="I342" s="1904"/>
      <c r="J342" s="1904"/>
      <c r="K342" s="1904"/>
      <c r="L342" s="1904"/>
      <c r="M342" s="1904"/>
      <c r="N342" s="1904"/>
      <c r="O342" s="1905"/>
    </row>
    <row r="343" spans="2:15" x14ac:dyDescent="0.3">
      <c r="B343" s="1894"/>
      <c r="C343" s="1897"/>
      <c r="D343" s="120" t="s">
        <v>285</v>
      </c>
      <c r="E343" s="1903"/>
      <c r="F343" s="1904"/>
      <c r="G343" s="1904"/>
      <c r="H343" s="1904"/>
      <c r="I343" s="1904"/>
      <c r="J343" s="1904"/>
      <c r="K343" s="1904"/>
      <c r="L343" s="1904"/>
      <c r="M343" s="1904"/>
      <c r="N343" s="1904"/>
      <c r="O343" s="1905"/>
    </row>
    <row r="344" spans="2:15" x14ac:dyDescent="0.3">
      <c r="B344" s="1894"/>
      <c r="C344" s="1897"/>
      <c r="D344" s="120" t="s">
        <v>569</v>
      </c>
      <c r="E344" s="1903"/>
      <c r="F344" s="1904"/>
      <c r="G344" s="1904"/>
      <c r="H344" s="1904"/>
      <c r="I344" s="1904"/>
      <c r="J344" s="1904"/>
      <c r="K344" s="1904"/>
      <c r="L344" s="1904"/>
      <c r="M344" s="1904"/>
      <c r="N344" s="1904"/>
      <c r="O344" s="1905"/>
    </row>
    <row r="345" spans="2:15" x14ac:dyDescent="0.3">
      <c r="B345" s="1894"/>
      <c r="C345" s="1897"/>
      <c r="D345" s="120" t="s">
        <v>287</v>
      </c>
      <c r="E345" s="1903"/>
      <c r="F345" s="1904"/>
      <c r="G345" s="1904"/>
      <c r="H345" s="1904"/>
      <c r="I345" s="1904"/>
      <c r="J345" s="1904"/>
      <c r="K345" s="1904"/>
      <c r="L345" s="1904"/>
      <c r="M345" s="1904"/>
      <c r="N345" s="1904"/>
      <c r="O345" s="1905"/>
    </row>
    <row r="346" spans="2:15" x14ac:dyDescent="0.3">
      <c r="B346" s="1894"/>
      <c r="C346" s="1897"/>
      <c r="D346" s="120" t="s">
        <v>288</v>
      </c>
      <c r="E346" s="1903"/>
      <c r="F346" s="1904"/>
      <c r="G346" s="1904"/>
      <c r="H346" s="1904"/>
      <c r="I346" s="1904"/>
      <c r="J346" s="1904"/>
      <c r="K346" s="1904"/>
      <c r="L346" s="1904"/>
      <c r="M346" s="1904"/>
      <c r="N346" s="1904"/>
      <c r="O346" s="1905"/>
    </row>
    <row r="347" spans="2:15" x14ac:dyDescent="0.3">
      <c r="B347" s="1894"/>
      <c r="C347" s="1897"/>
      <c r="D347" s="120" t="s">
        <v>289</v>
      </c>
      <c r="E347" s="1903"/>
      <c r="F347" s="1904"/>
      <c r="G347" s="1904"/>
      <c r="H347" s="1904"/>
      <c r="I347" s="1904"/>
      <c r="J347" s="1904"/>
      <c r="K347" s="1904"/>
      <c r="L347" s="1904"/>
      <c r="M347" s="1904"/>
      <c r="N347" s="1904"/>
      <c r="O347" s="1905"/>
    </row>
    <row r="348" spans="2:15" x14ac:dyDescent="0.3">
      <c r="B348" s="1895"/>
      <c r="C348" s="1898"/>
      <c r="D348" s="120" t="s">
        <v>290</v>
      </c>
      <c r="E348" s="1903"/>
      <c r="F348" s="1904"/>
      <c r="G348" s="1904"/>
      <c r="H348" s="1904"/>
      <c r="I348" s="1904"/>
      <c r="J348" s="1904"/>
      <c r="K348" s="1904"/>
      <c r="L348" s="1904"/>
      <c r="M348" s="1904"/>
      <c r="N348" s="1904"/>
      <c r="O348" s="1905"/>
    </row>
    <row r="349" spans="2:15" x14ac:dyDescent="0.3">
      <c r="B349" s="1893">
        <f>B337+1</f>
        <v>2</v>
      </c>
      <c r="C349" s="1896"/>
      <c r="D349" s="120" t="s">
        <v>279</v>
      </c>
      <c r="E349" s="1903"/>
      <c r="F349" s="1904"/>
      <c r="G349" s="1904"/>
      <c r="H349" s="1904"/>
      <c r="I349" s="1904"/>
      <c r="J349" s="1904"/>
      <c r="K349" s="1904"/>
      <c r="L349" s="1904"/>
      <c r="M349" s="1904"/>
      <c r="N349" s="1904"/>
      <c r="O349" s="1905"/>
    </row>
    <row r="350" spans="2:15" x14ac:dyDescent="0.3">
      <c r="B350" s="1894"/>
      <c r="C350" s="1897"/>
      <c r="D350" s="120" t="s">
        <v>280</v>
      </c>
      <c r="E350" s="1903"/>
      <c r="F350" s="1904"/>
      <c r="G350" s="1904"/>
      <c r="H350" s="1904"/>
      <c r="I350" s="1904"/>
      <c r="J350" s="1904"/>
      <c r="K350" s="1904"/>
      <c r="L350" s="1904"/>
      <c r="M350" s="1904"/>
      <c r="N350" s="1904"/>
      <c r="O350" s="1905"/>
    </row>
    <row r="351" spans="2:15" x14ac:dyDescent="0.3">
      <c r="B351" s="1894"/>
      <c r="C351" s="1897"/>
      <c r="D351" s="120" t="s">
        <v>281</v>
      </c>
      <c r="E351" s="1903"/>
      <c r="F351" s="1904"/>
      <c r="G351" s="1904"/>
      <c r="H351" s="1904"/>
      <c r="I351" s="1904"/>
      <c r="J351" s="1904"/>
      <c r="K351" s="1904"/>
      <c r="L351" s="1904"/>
      <c r="M351" s="1904"/>
      <c r="N351" s="1904"/>
      <c r="O351" s="1905"/>
    </row>
    <row r="352" spans="2:15" x14ac:dyDescent="0.3">
      <c r="B352" s="1894"/>
      <c r="C352" s="1897"/>
      <c r="D352" s="120" t="s">
        <v>568</v>
      </c>
      <c r="E352" s="1903"/>
      <c r="F352" s="1904"/>
      <c r="G352" s="1904"/>
      <c r="H352" s="1904"/>
      <c r="I352" s="1904"/>
      <c r="J352" s="1904"/>
      <c r="K352" s="1904"/>
      <c r="L352" s="1904"/>
      <c r="M352" s="1904"/>
      <c r="N352" s="1904"/>
      <c r="O352" s="1905"/>
    </row>
    <row r="353" spans="2:15" x14ac:dyDescent="0.3">
      <c r="B353" s="1894"/>
      <c r="C353" s="1897"/>
      <c r="D353" s="120" t="s">
        <v>283</v>
      </c>
      <c r="E353" s="1903"/>
      <c r="F353" s="1904"/>
      <c r="G353" s="1904"/>
      <c r="H353" s="1904"/>
      <c r="I353" s="1904"/>
      <c r="J353" s="1904"/>
      <c r="K353" s="1904"/>
      <c r="L353" s="1904"/>
      <c r="M353" s="1904"/>
      <c r="N353" s="1904"/>
      <c r="O353" s="1905"/>
    </row>
    <row r="354" spans="2:15" x14ac:dyDescent="0.3">
      <c r="B354" s="1894"/>
      <c r="C354" s="1897"/>
      <c r="D354" s="120" t="s">
        <v>284</v>
      </c>
      <c r="E354" s="1903"/>
      <c r="F354" s="1904"/>
      <c r="G354" s="1904"/>
      <c r="H354" s="1904"/>
      <c r="I354" s="1904"/>
      <c r="J354" s="1904"/>
      <c r="K354" s="1904"/>
      <c r="L354" s="1904"/>
      <c r="M354" s="1904"/>
      <c r="N354" s="1904"/>
      <c r="O354" s="1905"/>
    </row>
    <row r="355" spans="2:15" x14ac:dyDescent="0.3">
      <c r="B355" s="1894"/>
      <c r="C355" s="1897"/>
      <c r="D355" s="120" t="s">
        <v>285</v>
      </c>
      <c r="E355" s="1903"/>
      <c r="F355" s="1904"/>
      <c r="G355" s="1904"/>
      <c r="H355" s="1904"/>
      <c r="I355" s="1904"/>
      <c r="J355" s="1904"/>
      <c r="K355" s="1904"/>
      <c r="L355" s="1904"/>
      <c r="M355" s="1904"/>
      <c r="N355" s="1904"/>
      <c r="O355" s="1905"/>
    </row>
    <row r="356" spans="2:15" x14ac:dyDescent="0.3">
      <c r="B356" s="1894"/>
      <c r="C356" s="1897"/>
      <c r="D356" s="120" t="s">
        <v>569</v>
      </c>
      <c r="E356" s="1903"/>
      <c r="F356" s="1904"/>
      <c r="G356" s="1904"/>
      <c r="H356" s="1904"/>
      <c r="I356" s="1904"/>
      <c r="J356" s="1904"/>
      <c r="K356" s="1904"/>
      <c r="L356" s="1904"/>
      <c r="M356" s="1904"/>
      <c r="N356" s="1904"/>
      <c r="O356" s="1905"/>
    </row>
    <row r="357" spans="2:15" x14ac:dyDescent="0.3">
      <c r="B357" s="1894"/>
      <c r="C357" s="1897"/>
      <c r="D357" s="120" t="s">
        <v>287</v>
      </c>
      <c r="E357" s="1903"/>
      <c r="F357" s="1904"/>
      <c r="G357" s="1904"/>
      <c r="H357" s="1904"/>
      <c r="I357" s="1904"/>
      <c r="J357" s="1904"/>
      <c r="K357" s="1904"/>
      <c r="L357" s="1904"/>
      <c r="M357" s="1904"/>
      <c r="N357" s="1904"/>
      <c r="O357" s="1905"/>
    </row>
    <row r="358" spans="2:15" x14ac:dyDescent="0.3">
      <c r="B358" s="1894"/>
      <c r="C358" s="1897"/>
      <c r="D358" s="120" t="s">
        <v>288</v>
      </c>
      <c r="E358" s="1903"/>
      <c r="F358" s="1904"/>
      <c r="G358" s="1904"/>
      <c r="H358" s="1904"/>
      <c r="I358" s="1904"/>
      <c r="J358" s="1904"/>
      <c r="K358" s="1904"/>
      <c r="L358" s="1904"/>
      <c r="M358" s="1904"/>
      <c r="N358" s="1904"/>
      <c r="O358" s="1905"/>
    </row>
    <row r="359" spans="2:15" x14ac:dyDescent="0.3">
      <c r="B359" s="1894"/>
      <c r="C359" s="1897"/>
      <c r="D359" s="120" t="s">
        <v>289</v>
      </c>
      <c r="E359" s="1903"/>
      <c r="F359" s="1904"/>
      <c r="G359" s="1904"/>
      <c r="H359" s="1904"/>
      <c r="I359" s="1904"/>
      <c r="J359" s="1904"/>
      <c r="K359" s="1904"/>
      <c r="L359" s="1904"/>
      <c r="M359" s="1904"/>
      <c r="N359" s="1904"/>
      <c r="O359" s="1905"/>
    </row>
    <row r="360" spans="2:15" x14ac:dyDescent="0.3">
      <c r="B360" s="1895"/>
      <c r="C360" s="1898"/>
      <c r="D360" s="120" t="s">
        <v>290</v>
      </c>
      <c r="E360" s="1903"/>
      <c r="F360" s="1904"/>
      <c r="G360" s="1904"/>
      <c r="H360" s="1904"/>
      <c r="I360" s="1904"/>
      <c r="J360" s="1904"/>
      <c r="K360" s="1904"/>
      <c r="L360" s="1904"/>
      <c r="M360" s="1904"/>
      <c r="N360" s="1904"/>
      <c r="O360" s="1905"/>
    </row>
    <row r="361" spans="2:15" x14ac:dyDescent="0.3">
      <c r="B361" s="94">
        <v>3</v>
      </c>
      <c r="C361" s="119"/>
      <c r="D361" s="119"/>
      <c r="E361" s="1903"/>
      <c r="F361" s="1904"/>
      <c r="G361" s="1904"/>
      <c r="H361" s="1904"/>
      <c r="I361" s="1904"/>
      <c r="J361" s="1904"/>
      <c r="K361" s="1904"/>
      <c r="L361" s="1904"/>
      <c r="M361" s="1904"/>
      <c r="N361" s="1904"/>
      <c r="O361" s="1905"/>
    </row>
    <row r="362" spans="2:15" x14ac:dyDescent="0.3">
      <c r="B362" s="94" t="s">
        <v>474</v>
      </c>
      <c r="C362" s="121"/>
      <c r="D362" s="121"/>
      <c r="E362" s="1906"/>
      <c r="F362" s="1907"/>
      <c r="G362" s="1907"/>
      <c r="H362" s="1907"/>
      <c r="I362" s="1907"/>
      <c r="J362" s="1907"/>
      <c r="K362" s="1907"/>
      <c r="L362" s="1907"/>
      <c r="M362" s="1907"/>
      <c r="N362" s="1907"/>
      <c r="O362" s="1908"/>
    </row>
    <row r="364" spans="2:15" x14ac:dyDescent="0.3">
      <c r="B364" s="247" t="s">
        <v>570</v>
      </c>
    </row>
    <row r="365" spans="2:15" x14ac:dyDescent="0.3">
      <c r="B365" s="247" t="s">
        <v>637</v>
      </c>
    </row>
    <row r="366" spans="2:15" x14ac:dyDescent="0.3">
      <c r="B366" s="247" t="s">
        <v>571</v>
      </c>
    </row>
    <row r="367" spans="2:15" x14ac:dyDescent="0.3">
      <c r="B367" s="247" t="s">
        <v>639</v>
      </c>
    </row>
    <row r="371" spans="2:15" x14ac:dyDescent="0.3">
      <c r="B371" s="1899" t="s">
        <v>1129</v>
      </c>
      <c r="C371" s="1899"/>
      <c r="D371" s="691"/>
      <c r="E371" s="14"/>
      <c r="F371" s="14"/>
      <c r="G371" s="14"/>
      <c r="H371" s="14"/>
      <c r="I371" s="14"/>
      <c r="J371" s="14"/>
      <c r="K371" s="14"/>
      <c r="L371" s="14"/>
    </row>
    <row r="373" spans="2:15" ht="56" x14ac:dyDescent="0.3">
      <c r="B373" s="1600" t="s">
        <v>340</v>
      </c>
      <c r="C373" s="1600" t="s">
        <v>556</v>
      </c>
      <c r="D373" s="1600" t="s">
        <v>567</v>
      </c>
      <c r="E373" s="685" t="s">
        <v>638</v>
      </c>
      <c r="F373" s="1593" t="s">
        <v>557</v>
      </c>
      <c r="G373" s="1593"/>
      <c r="H373" s="1593"/>
      <c r="I373" s="1593"/>
      <c r="J373" s="1593"/>
      <c r="K373" s="1593" t="s">
        <v>561</v>
      </c>
      <c r="L373" s="1593"/>
      <c r="M373" s="1593"/>
      <c r="N373" s="1593" t="s">
        <v>565</v>
      </c>
      <c r="O373" s="1593" t="s">
        <v>566</v>
      </c>
    </row>
    <row r="374" spans="2:15" ht="28" x14ac:dyDescent="0.3">
      <c r="B374" s="1642"/>
      <c r="C374" s="1642"/>
      <c r="D374" s="1642"/>
      <c r="E374" s="686" t="s">
        <v>640</v>
      </c>
      <c r="F374" s="683" t="s">
        <v>563</v>
      </c>
      <c r="G374" s="683" t="s">
        <v>558</v>
      </c>
      <c r="H374" s="683" t="s">
        <v>642</v>
      </c>
      <c r="I374" s="686" t="s">
        <v>559</v>
      </c>
      <c r="J374" s="686" t="s">
        <v>560</v>
      </c>
      <c r="K374" s="686" t="s">
        <v>562</v>
      </c>
      <c r="L374" s="686" t="s">
        <v>564</v>
      </c>
      <c r="M374" s="686" t="s">
        <v>641</v>
      </c>
      <c r="N374" s="1593"/>
      <c r="O374" s="1593"/>
    </row>
    <row r="375" spans="2:15" x14ac:dyDescent="0.3">
      <c r="B375" s="1893">
        <f>B374+1</f>
        <v>1</v>
      </c>
      <c r="C375" s="1896"/>
      <c r="D375" s="120" t="s">
        <v>279</v>
      </c>
      <c r="E375" s="1900" t="s">
        <v>773</v>
      </c>
      <c r="F375" s="1901"/>
      <c r="G375" s="1901"/>
      <c r="H375" s="1901"/>
      <c r="I375" s="1901"/>
      <c r="J375" s="1901"/>
      <c r="K375" s="1901"/>
      <c r="L375" s="1901"/>
      <c r="M375" s="1901"/>
      <c r="N375" s="1901"/>
      <c r="O375" s="1902"/>
    </row>
    <row r="376" spans="2:15" x14ac:dyDescent="0.3">
      <c r="B376" s="1894"/>
      <c r="C376" s="1897"/>
      <c r="D376" s="120" t="s">
        <v>280</v>
      </c>
      <c r="E376" s="1903"/>
      <c r="F376" s="1904"/>
      <c r="G376" s="1904"/>
      <c r="H376" s="1904"/>
      <c r="I376" s="1904"/>
      <c r="J376" s="1904"/>
      <c r="K376" s="1904"/>
      <c r="L376" s="1904"/>
      <c r="M376" s="1904"/>
      <c r="N376" s="1904"/>
      <c r="O376" s="1905"/>
    </row>
    <row r="377" spans="2:15" x14ac:dyDescent="0.3">
      <c r="B377" s="1894"/>
      <c r="C377" s="1897"/>
      <c r="D377" s="120" t="s">
        <v>281</v>
      </c>
      <c r="E377" s="1903"/>
      <c r="F377" s="1904"/>
      <c r="G377" s="1904"/>
      <c r="H377" s="1904"/>
      <c r="I377" s="1904"/>
      <c r="J377" s="1904"/>
      <c r="K377" s="1904"/>
      <c r="L377" s="1904"/>
      <c r="M377" s="1904"/>
      <c r="N377" s="1904"/>
      <c r="O377" s="1905"/>
    </row>
    <row r="378" spans="2:15" x14ac:dyDescent="0.3">
      <c r="B378" s="1894"/>
      <c r="C378" s="1897"/>
      <c r="D378" s="120" t="s">
        <v>568</v>
      </c>
      <c r="E378" s="1903"/>
      <c r="F378" s="1904"/>
      <c r="G378" s="1904"/>
      <c r="H378" s="1904"/>
      <c r="I378" s="1904"/>
      <c r="J378" s="1904"/>
      <c r="K378" s="1904"/>
      <c r="L378" s="1904"/>
      <c r="M378" s="1904"/>
      <c r="N378" s="1904"/>
      <c r="O378" s="1905"/>
    </row>
    <row r="379" spans="2:15" x14ac:dyDescent="0.3">
      <c r="B379" s="1894"/>
      <c r="C379" s="1897"/>
      <c r="D379" s="120" t="s">
        <v>283</v>
      </c>
      <c r="E379" s="1903"/>
      <c r="F379" s="1904"/>
      <c r="G379" s="1904"/>
      <c r="H379" s="1904"/>
      <c r="I379" s="1904"/>
      <c r="J379" s="1904"/>
      <c r="K379" s="1904"/>
      <c r="L379" s="1904"/>
      <c r="M379" s="1904"/>
      <c r="N379" s="1904"/>
      <c r="O379" s="1905"/>
    </row>
    <row r="380" spans="2:15" x14ac:dyDescent="0.3">
      <c r="B380" s="1894"/>
      <c r="C380" s="1897"/>
      <c r="D380" s="120" t="s">
        <v>284</v>
      </c>
      <c r="E380" s="1903"/>
      <c r="F380" s="1904"/>
      <c r="G380" s="1904"/>
      <c r="H380" s="1904"/>
      <c r="I380" s="1904"/>
      <c r="J380" s="1904"/>
      <c r="K380" s="1904"/>
      <c r="L380" s="1904"/>
      <c r="M380" s="1904"/>
      <c r="N380" s="1904"/>
      <c r="O380" s="1905"/>
    </row>
    <row r="381" spans="2:15" x14ac:dyDescent="0.3">
      <c r="B381" s="1894"/>
      <c r="C381" s="1897"/>
      <c r="D381" s="120" t="s">
        <v>285</v>
      </c>
      <c r="E381" s="1903"/>
      <c r="F381" s="1904"/>
      <c r="G381" s="1904"/>
      <c r="H381" s="1904"/>
      <c r="I381" s="1904"/>
      <c r="J381" s="1904"/>
      <c r="K381" s="1904"/>
      <c r="L381" s="1904"/>
      <c r="M381" s="1904"/>
      <c r="N381" s="1904"/>
      <c r="O381" s="1905"/>
    </row>
    <row r="382" spans="2:15" x14ac:dyDescent="0.3">
      <c r="B382" s="1894"/>
      <c r="C382" s="1897"/>
      <c r="D382" s="120" t="s">
        <v>569</v>
      </c>
      <c r="E382" s="1903"/>
      <c r="F382" s="1904"/>
      <c r="G382" s="1904"/>
      <c r="H382" s="1904"/>
      <c r="I382" s="1904"/>
      <c r="J382" s="1904"/>
      <c r="K382" s="1904"/>
      <c r="L382" s="1904"/>
      <c r="M382" s="1904"/>
      <c r="N382" s="1904"/>
      <c r="O382" s="1905"/>
    </row>
    <row r="383" spans="2:15" x14ac:dyDescent="0.3">
      <c r="B383" s="1894"/>
      <c r="C383" s="1897"/>
      <c r="D383" s="120" t="s">
        <v>287</v>
      </c>
      <c r="E383" s="1903"/>
      <c r="F383" s="1904"/>
      <c r="G383" s="1904"/>
      <c r="H383" s="1904"/>
      <c r="I383" s="1904"/>
      <c r="J383" s="1904"/>
      <c r="K383" s="1904"/>
      <c r="L383" s="1904"/>
      <c r="M383" s="1904"/>
      <c r="N383" s="1904"/>
      <c r="O383" s="1905"/>
    </row>
    <row r="384" spans="2:15" x14ac:dyDescent="0.3">
      <c r="B384" s="1894"/>
      <c r="C384" s="1897"/>
      <c r="D384" s="120" t="s">
        <v>288</v>
      </c>
      <c r="E384" s="1903"/>
      <c r="F384" s="1904"/>
      <c r="G384" s="1904"/>
      <c r="H384" s="1904"/>
      <c r="I384" s="1904"/>
      <c r="J384" s="1904"/>
      <c r="K384" s="1904"/>
      <c r="L384" s="1904"/>
      <c r="M384" s="1904"/>
      <c r="N384" s="1904"/>
      <c r="O384" s="1905"/>
    </row>
    <row r="385" spans="2:15" x14ac:dyDescent="0.3">
      <c r="B385" s="1894"/>
      <c r="C385" s="1897"/>
      <c r="D385" s="120" t="s">
        <v>289</v>
      </c>
      <c r="E385" s="1903"/>
      <c r="F385" s="1904"/>
      <c r="G385" s="1904"/>
      <c r="H385" s="1904"/>
      <c r="I385" s="1904"/>
      <c r="J385" s="1904"/>
      <c r="K385" s="1904"/>
      <c r="L385" s="1904"/>
      <c r="M385" s="1904"/>
      <c r="N385" s="1904"/>
      <c r="O385" s="1905"/>
    </row>
    <row r="386" spans="2:15" x14ac:dyDescent="0.3">
      <c r="B386" s="1895"/>
      <c r="C386" s="1898"/>
      <c r="D386" s="120" t="s">
        <v>290</v>
      </c>
      <c r="E386" s="1903"/>
      <c r="F386" s="1904"/>
      <c r="G386" s="1904"/>
      <c r="H386" s="1904"/>
      <c r="I386" s="1904"/>
      <c r="J386" s="1904"/>
      <c r="K386" s="1904"/>
      <c r="L386" s="1904"/>
      <c r="M386" s="1904"/>
      <c r="N386" s="1904"/>
      <c r="O386" s="1905"/>
    </row>
    <row r="387" spans="2:15" x14ac:dyDescent="0.3">
      <c r="B387" s="1893">
        <f>B375+1</f>
        <v>2</v>
      </c>
      <c r="C387" s="1896"/>
      <c r="D387" s="120" t="s">
        <v>279</v>
      </c>
      <c r="E387" s="1903"/>
      <c r="F387" s="1904"/>
      <c r="G387" s="1904"/>
      <c r="H387" s="1904"/>
      <c r="I387" s="1904"/>
      <c r="J387" s="1904"/>
      <c r="K387" s="1904"/>
      <c r="L387" s="1904"/>
      <c r="M387" s="1904"/>
      <c r="N387" s="1904"/>
      <c r="O387" s="1905"/>
    </row>
    <row r="388" spans="2:15" x14ac:dyDescent="0.3">
      <c r="B388" s="1894"/>
      <c r="C388" s="1897"/>
      <c r="D388" s="120" t="s">
        <v>280</v>
      </c>
      <c r="E388" s="1903"/>
      <c r="F388" s="1904"/>
      <c r="G388" s="1904"/>
      <c r="H388" s="1904"/>
      <c r="I388" s="1904"/>
      <c r="J388" s="1904"/>
      <c r="K388" s="1904"/>
      <c r="L388" s="1904"/>
      <c r="M388" s="1904"/>
      <c r="N388" s="1904"/>
      <c r="O388" s="1905"/>
    </row>
    <row r="389" spans="2:15" x14ac:dyDescent="0.3">
      <c r="B389" s="1894"/>
      <c r="C389" s="1897"/>
      <c r="D389" s="120" t="s">
        <v>281</v>
      </c>
      <c r="E389" s="1903"/>
      <c r="F389" s="1904"/>
      <c r="G389" s="1904"/>
      <c r="H389" s="1904"/>
      <c r="I389" s="1904"/>
      <c r="J389" s="1904"/>
      <c r="K389" s="1904"/>
      <c r="L389" s="1904"/>
      <c r="M389" s="1904"/>
      <c r="N389" s="1904"/>
      <c r="O389" s="1905"/>
    </row>
    <row r="390" spans="2:15" x14ac:dyDescent="0.3">
      <c r="B390" s="1894"/>
      <c r="C390" s="1897"/>
      <c r="D390" s="120" t="s">
        <v>568</v>
      </c>
      <c r="E390" s="1903"/>
      <c r="F390" s="1904"/>
      <c r="G390" s="1904"/>
      <c r="H390" s="1904"/>
      <c r="I390" s="1904"/>
      <c r="J390" s="1904"/>
      <c r="K390" s="1904"/>
      <c r="L390" s="1904"/>
      <c r="M390" s="1904"/>
      <c r="N390" s="1904"/>
      <c r="O390" s="1905"/>
    </row>
    <row r="391" spans="2:15" x14ac:dyDescent="0.3">
      <c r="B391" s="1894"/>
      <c r="C391" s="1897"/>
      <c r="D391" s="120" t="s">
        <v>283</v>
      </c>
      <c r="E391" s="1903"/>
      <c r="F391" s="1904"/>
      <c r="G391" s="1904"/>
      <c r="H391" s="1904"/>
      <c r="I391" s="1904"/>
      <c r="J391" s="1904"/>
      <c r="K391" s="1904"/>
      <c r="L391" s="1904"/>
      <c r="M391" s="1904"/>
      <c r="N391" s="1904"/>
      <c r="O391" s="1905"/>
    </row>
    <row r="392" spans="2:15" x14ac:dyDescent="0.3">
      <c r="B392" s="1894"/>
      <c r="C392" s="1897"/>
      <c r="D392" s="120" t="s">
        <v>284</v>
      </c>
      <c r="E392" s="1903"/>
      <c r="F392" s="1904"/>
      <c r="G392" s="1904"/>
      <c r="H392" s="1904"/>
      <c r="I392" s="1904"/>
      <c r="J392" s="1904"/>
      <c r="K392" s="1904"/>
      <c r="L392" s="1904"/>
      <c r="M392" s="1904"/>
      <c r="N392" s="1904"/>
      <c r="O392" s="1905"/>
    </row>
    <row r="393" spans="2:15" x14ac:dyDescent="0.3">
      <c r="B393" s="1894"/>
      <c r="C393" s="1897"/>
      <c r="D393" s="120" t="s">
        <v>285</v>
      </c>
      <c r="E393" s="1903"/>
      <c r="F393" s="1904"/>
      <c r="G393" s="1904"/>
      <c r="H393" s="1904"/>
      <c r="I393" s="1904"/>
      <c r="J393" s="1904"/>
      <c r="K393" s="1904"/>
      <c r="L393" s="1904"/>
      <c r="M393" s="1904"/>
      <c r="N393" s="1904"/>
      <c r="O393" s="1905"/>
    </row>
    <row r="394" spans="2:15" x14ac:dyDescent="0.3">
      <c r="B394" s="1894"/>
      <c r="C394" s="1897"/>
      <c r="D394" s="120" t="s">
        <v>569</v>
      </c>
      <c r="E394" s="1903"/>
      <c r="F394" s="1904"/>
      <c r="G394" s="1904"/>
      <c r="H394" s="1904"/>
      <c r="I394" s="1904"/>
      <c r="J394" s="1904"/>
      <c r="K394" s="1904"/>
      <c r="L394" s="1904"/>
      <c r="M394" s="1904"/>
      <c r="N394" s="1904"/>
      <c r="O394" s="1905"/>
    </row>
    <row r="395" spans="2:15" x14ac:dyDescent="0.3">
      <c r="B395" s="1894"/>
      <c r="C395" s="1897"/>
      <c r="D395" s="120" t="s">
        <v>287</v>
      </c>
      <c r="E395" s="1903"/>
      <c r="F395" s="1904"/>
      <c r="G395" s="1904"/>
      <c r="H395" s="1904"/>
      <c r="I395" s="1904"/>
      <c r="J395" s="1904"/>
      <c r="K395" s="1904"/>
      <c r="L395" s="1904"/>
      <c r="M395" s="1904"/>
      <c r="N395" s="1904"/>
      <c r="O395" s="1905"/>
    </row>
    <row r="396" spans="2:15" x14ac:dyDescent="0.3">
      <c r="B396" s="1894"/>
      <c r="C396" s="1897"/>
      <c r="D396" s="120" t="s">
        <v>288</v>
      </c>
      <c r="E396" s="1903"/>
      <c r="F396" s="1904"/>
      <c r="G396" s="1904"/>
      <c r="H396" s="1904"/>
      <c r="I396" s="1904"/>
      <c r="J396" s="1904"/>
      <c r="K396" s="1904"/>
      <c r="L396" s="1904"/>
      <c r="M396" s="1904"/>
      <c r="N396" s="1904"/>
      <c r="O396" s="1905"/>
    </row>
    <row r="397" spans="2:15" x14ac:dyDescent="0.3">
      <c r="B397" s="1894"/>
      <c r="C397" s="1897"/>
      <c r="D397" s="120" t="s">
        <v>289</v>
      </c>
      <c r="E397" s="1903"/>
      <c r="F397" s="1904"/>
      <c r="G397" s="1904"/>
      <c r="H397" s="1904"/>
      <c r="I397" s="1904"/>
      <c r="J397" s="1904"/>
      <c r="K397" s="1904"/>
      <c r="L397" s="1904"/>
      <c r="M397" s="1904"/>
      <c r="N397" s="1904"/>
      <c r="O397" s="1905"/>
    </row>
    <row r="398" spans="2:15" x14ac:dyDescent="0.3">
      <c r="B398" s="1895"/>
      <c r="C398" s="1898"/>
      <c r="D398" s="120" t="s">
        <v>290</v>
      </c>
      <c r="E398" s="1903"/>
      <c r="F398" s="1904"/>
      <c r="G398" s="1904"/>
      <c r="H398" s="1904"/>
      <c r="I398" s="1904"/>
      <c r="J398" s="1904"/>
      <c r="K398" s="1904"/>
      <c r="L398" s="1904"/>
      <c r="M398" s="1904"/>
      <c r="N398" s="1904"/>
      <c r="O398" s="1905"/>
    </row>
    <row r="399" spans="2:15" x14ac:dyDescent="0.3">
      <c r="B399" s="94">
        <v>3</v>
      </c>
      <c r="C399" s="119"/>
      <c r="D399" s="119"/>
      <c r="E399" s="1903"/>
      <c r="F399" s="1904"/>
      <c r="G399" s="1904"/>
      <c r="H399" s="1904"/>
      <c r="I399" s="1904"/>
      <c r="J399" s="1904"/>
      <c r="K399" s="1904"/>
      <c r="L399" s="1904"/>
      <c r="M399" s="1904"/>
      <c r="N399" s="1904"/>
      <c r="O399" s="1905"/>
    </row>
    <row r="400" spans="2:15" x14ac:dyDescent="0.3">
      <c r="B400" s="94" t="s">
        <v>474</v>
      </c>
      <c r="C400" s="121"/>
      <c r="D400" s="121"/>
      <c r="E400" s="1906"/>
      <c r="F400" s="1907"/>
      <c r="G400" s="1907"/>
      <c r="H400" s="1907"/>
      <c r="I400" s="1907"/>
      <c r="J400" s="1907"/>
      <c r="K400" s="1907"/>
      <c r="L400" s="1907"/>
      <c r="M400" s="1907"/>
      <c r="N400" s="1907"/>
      <c r="O400" s="1908"/>
    </row>
    <row r="402" spans="2:2" x14ac:dyDescent="0.3">
      <c r="B402" s="247" t="s">
        <v>570</v>
      </c>
    </row>
    <row r="403" spans="2:2" x14ac:dyDescent="0.3">
      <c r="B403" s="247" t="s">
        <v>637</v>
      </c>
    </row>
    <row r="404" spans="2:2" x14ac:dyDescent="0.3">
      <c r="B404" s="247" t="s">
        <v>571</v>
      </c>
    </row>
    <row r="405" spans="2:2" x14ac:dyDescent="0.3">
      <c r="B405" s="247" t="s">
        <v>639</v>
      </c>
    </row>
  </sheetData>
  <mergeCells count="159">
    <mergeCell ref="B371:C371"/>
    <mergeCell ref="B373:B374"/>
    <mergeCell ref="C373:C374"/>
    <mergeCell ref="D373:D374"/>
    <mergeCell ref="F373:J373"/>
    <mergeCell ref="K373:M373"/>
    <mergeCell ref="N373:N374"/>
    <mergeCell ref="O373:O374"/>
    <mergeCell ref="B375:B386"/>
    <mergeCell ref="C375:C386"/>
    <mergeCell ref="E375:O400"/>
    <mergeCell ref="B387:B398"/>
    <mergeCell ref="C387:C398"/>
    <mergeCell ref="B333:C333"/>
    <mergeCell ref="B335:B336"/>
    <mergeCell ref="C335:C336"/>
    <mergeCell ref="D335:D336"/>
    <mergeCell ref="F335:J335"/>
    <mergeCell ref="K335:M335"/>
    <mergeCell ref="N335:N336"/>
    <mergeCell ref="O335:O336"/>
    <mergeCell ref="B337:B348"/>
    <mergeCell ref="C337:C348"/>
    <mergeCell ref="E337:O362"/>
    <mergeCell ref="B349:B360"/>
    <mergeCell ref="C349:C360"/>
    <mergeCell ref="B295:C295"/>
    <mergeCell ref="B297:B298"/>
    <mergeCell ref="C297:C298"/>
    <mergeCell ref="D297:D298"/>
    <mergeCell ref="F297:J297"/>
    <mergeCell ref="K297:M297"/>
    <mergeCell ref="N297:N298"/>
    <mergeCell ref="O297:O298"/>
    <mergeCell ref="B299:B310"/>
    <mergeCell ref="C299:C310"/>
    <mergeCell ref="E299:O324"/>
    <mergeCell ref="B311:B322"/>
    <mergeCell ref="C311:C322"/>
    <mergeCell ref="E190:O215"/>
    <mergeCell ref="E226:O251"/>
    <mergeCell ref="E262:O287"/>
    <mergeCell ref="B2:O2"/>
    <mergeCell ref="B3:O3"/>
    <mergeCell ref="B4:O4"/>
    <mergeCell ref="B74:B85"/>
    <mergeCell ref="C74:C85"/>
    <mergeCell ref="O188:O189"/>
    <mergeCell ref="B190:B201"/>
    <mergeCell ref="C190:C201"/>
    <mergeCell ref="B202:B213"/>
    <mergeCell ref="C202:C213"/>
    <mergeCell ref="O168:O169"/>
    <mergeCell ref="B170:B175"/>
    <mergeCell ref="C170:C175"/>
    <mergeCell ref="B176:B181"/>
    <mergeCell ref="C176:C181"/>
    <mergeCell ref="O137:O138"/>
    <mergeCell ref="B139:B150"/>
    <mergeCell ref="C139:C150"/>
    <mergeCell ref="B86:B97"/>
    <mergeCell ref="C86:C97"/>
    <mergeCell ref="B135:C135"/>
    <mergeCell ref="B6:C6"/>
    <mergeCell ref="C8:C9"/>
    <mergeCell ref="B8:B9"/>
    <mergeCell ref="F8:J8"/>
    <mergeCell ref="D72:D73"/>
    <mergeCell ref="F72:J72"/>
    <mergeCell ref="C22:C33"/>
    <mergeCell ref="B22:B33"/>
    <mergeCell ref="B70:C70"/>
    <mergeCell ref="B37:C37"/>
    <mergeCell ref="B39:B40"/>
    <mergeCell ref="C39:C40"/>
    <mergeCell ref="D39:D40"/>
    <mergeCell ref="F39:J39"/>
    <mergeCell ref="B53:B64"/>
    <mergeCell ref="C53:C64"/>
    <mergeCell ref="B41:B52"/>
    <mergeCell ref="C41:C52"/>
    <mergeCell ref="E74:O99"/>
    <mergeCell ref="O103:O104"/>
    <mergeCell ref="B105:B116"/>
    <mergeCell ref="C105:C116"/>
    <mergeCell ref="B117:B128"/>
    <mergeCell ref="C117:C128"/>
    <mergeCell ref="F137:J137"/>
    <mergeCell ref="K137:M137"/>
    <mergeCell ref="N137:N138"/>
    <mergeCell ref="B101:C101"/>
    <mergeCell ref="B103:B104"/>
    <mergeCell ref="B137:B138"/>
    <mergeCell ref="C137:C138"/>
    <mergeCell ref="D137:D138"/>
    <mergeCell ref="C103:C104"/>
    <mergeCell ref="D103:D104"/>
    <mergeCell ref="F103:J103"/>
    <mergeCell ref="N8:N9"/>
    <mergeCell ref="O8:O9"/>
    <mergeCell ref="D8:D9"/>
    <mergeCell ref="B10:B21"/>
    <mergeCell ref="C10:C21"/>
    <mergeCell ref="K8:M8"/>
    <mergeCell ref="K72:M72"/>
    <mergeCell ref="N72:N73"/>
    <mergeCell ref="O72:O73"/>
    <mergeCell ref="B72:B73"/>
    <mergeCell ref="C72:C73"/>
    <mergeCell ref="K39:M39"/>
    <mergeCell ref="N39:N40"/>
    <mergeCell ref="O39:O40"/>
    <mergeCell ref="E10:O35"/>
    <mergeCell ref="E41:O66"/>
    <mergeCell ref="D168:D169"/>
    <mergeCell ref="F168:J168"/>
    <mergeCell ref="K168:M168"/>
    <mergeCell ref="N168:N169"/>
    <mergeCell ref="D188:D189"/>
    <mergeCell ref="F188:J188"/>
    <mergeCell ref="K188:M188"/>
    <mergeCell ref="N188:N189"/>
    <mergeCell ref="K103:M103"/>
    <mergeCell ref="N103:N104"/>
    <mergeCell ref="E105:O130"/>
    <mergeCell ref="E139:O164"/>
    <mergeCell ref="E170:O183"/>
    <mergeCell ref="B151:B162"/>
    <mergeCell ref="C151:C162"/>
    <mergeCell ref="B222:C222"/>
    <mergeCell ref="B224:B225"/>
    <mergeCell ref="C224:C225"/>
    <mergeCell ref="B166:C166"/>
    <mergeCell ref="B168:B169"/>
    <mergeCell ref="C168:C169"/>
    <mergeCell ref="B186:C186"/>
    <mergeCell ref="B188:B189"/>
    <mergeCell ref="C188:C189"/>
    <mergeCell ref="B274:B285"/>
    <mergeCell ref="C274:C285"/>
    <mergeCell ref="F260:J260"/>
    <mergeCell ref="K260:M260"/>
    <mergeCell ref="O224:O225"/>
    <mergeCell ref="N260:N261"/>
    <mergeCell ref="O260:O261"/>
    <mergeCell ref="B262:B273"/>
    <mergeCell ref="C262:C273"/>
    <mergeCell ref="B238:B249"/>
    <mergeCell ref="C238:C249"/>
    <mergeCell ref="B258:C258"/>
    <mergeCell ref="B260:B261"/>
    <mergeCell ref="C260:C261"/>
    <mergeCell ref="D260:D261"/>
    <mergeCell ref="B226:B237"/>
    <mergeCell ref="C226:C237"/>
    <mergeCell ref="D224:D225"/>
    <mergeCell ref="F224:J224"/>
    <mergeCell ref="K224:M224"/>
    <mergeCell ref="N224:N22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5">
    <pageSetUpPr fitToPage="1"/>
  </sheetPr>
  <dimension ref="B2:U69"/>
  <sheetViews>
    <sheetView showGridLines="0" view="pageBreakPreview" zoomScale="75" zoomScaleNormal="75" zoomScaleSheetLayoutView="75" workbookViewId="0">
      <selection activeCell="E2" sqref="E2"/>
    </sheetView>
  </sheetViews>
  <sheetFormatPr defaultColWidth="9.36328125" defaultRowHeight="14" x14ac:dyDescent="0.25"/>
  <cols>
    <col min="1" max="1" width="6.6328125" style="14" customWidth="1"/>
    <col min="2" max="2" width="41.36328125" style="93" bestFit="1" customWidth="1"/>
    <col min="3" max="3" width="36.453125" style="14" customWidth="1"/>
    <col min="4" max="4" width="12" style="14" customWidth="1"/>
    <col min="5" max="5" width="11.6328125" style="14" customWidth="1"/>
    <col min="6" max="6" width="11" style="14" customWidth="1"/>
    <col min="7" max="7" width="14.453125" style="14" customWidth="1"/>
    <col min="8" max="8" width="13.6328125" style="14" customWidth="1"/>
    <col min="9" max="9" width="16" style="14" customWidth="1"/>
    <col min="10" max="10" width="14.36328125" style="14" customWidth="1"/>
    <col min="11" max="11" width="11.6328125" style="14" customWidth="1"/>
    <col min="12" max="12" width="11" style="14" customWidth="1"/>
    <col min="13" max="13" width="13.6328125" style="14" customWidth="1"/>
    <col min="14" max="14" width="16" style="14" customWidth="1"/>
    <col min="15" max="16384" width="9.36328125" style="14"/>
  </cols>
  <sheetData>
    <row r="2" spans="2:14" x14ac:dyDescent="0.25">
      <c r="C2" s="22"/>
      <c r="D2" s="22"/>
      <c r="E2" s="15" t="str">
        <f>Index!B2</f>
        <v xml:space="preserve">      Maharashtra State Power Generation Company Ltd.</v>
      </c>
      <c r="F2" s="22"/>
      <c r="G2" s="22"/>
      <c r="H2" s="22"/>
      <c r="I2" s="22"/>
    </row>
    <row r="3" spans="2:14" s="1" customFormat="1" x14ac:dyDescent="0.3">
      <c r="C3" s="278"/>
      <c r="D3" s="278"/>
      <c r="E3" s="15" t="str">
        <f>Index!B3</f>
        <v>MYT Petition Formats for Bhusawal Unit 3</v>
      </c>
      <c r="F3" s="278"/>
      <c r="G3" s="278"/>
      <c r="H3" s="278"/>
      <c r="I3" s="278"/>
      <c r="J3" s="124"/>
      <c r="K3" s="124"/>
      <c r="L3" s="124"/>
      <c r="M3" s="124"/>
    </row>
    <row r="4" spans="2:14" s="1" customFormat="1" x14ac:dyDescent="0.3">
      <c r="C4" s="42"/>
      <c r="D4" s="42"/>
      <c r="E4" s="125" t="s">
        <v>734</v>
      </c>
      <c r="F4" s="42"/>
      <c r="G4" s="42"/>
      <c r="H4" s="42"/>
      <c r="I4" s="42"/>
      <c r="J4" s="42"/>
      <c r="K4" s="42"/>
      <c r="L4" s="42"/>
      <c r="M4" s="42"/>
      <c r="N4" s="42"/>
    </row>
    <row r="5" spans="2:14" s="1" customFormat="1" x14ac:dyDescent="0.3">
      <c r="B5" s="125"/>
      <c r="C5" s="125"/>
      <c r="D5" s="125"/>
      <c r="E5" s="125"/>
      <c r="F5" s="125"/>
      <c r="G5" s="125"/>
      <c r="H5" s="125"/>
      <c r="I5" s="125"/>
      <c r="J5" s="42"/>
      <c r="K5" s="42"/>
      <c r="L5" s="42"/>
      <c r="M5" s="42"/>
      <c r="N5" s="42"/>
    </row>
    <row r="6" spans="2:14" s="1" customFormat="1" x14ac:dyDescent="0.3">
      <c r="B6" s="277" t="s">
        <v>1084</v>
      </c>
      <c r="C6" s="276"/>
      <c r="D6" s="276"/>
      <c r="E6" s="276"/>
      <c r="F6" s="276"/>
      <c r="G6" s="276"/>
      <c r="H6" s="276"/>
      <c r="I6" s="266"/>
      <c r="J6" s="266"/>
      <c r="K6" s="42"/>
      <c r="L6" s="42"/>
      <c r="M6" s="42"/>
      <c r="N6" s="42"/>
    </row>
    <row r="7" spans="2:14" s="1" customFormat="1" x14ac:dyDescent="0.3">
      <c r="B7" s="277"/>
      <c r="C7" s="276"/>
      <c r="D7" s="276"/>
      <c r="E7" s="276"/>
      <c r="F7" s="276"/>
      <c r="G7" s="276"/>
      <c r="H7" s="276"/>
      <c r="I7" s="266"/>
      <c r="J7" s="266"/>
      <c r="K7" s="42"/>
      <c r="L7" s="42"/>
      <c r="M7" s="42"/>
      <c r="N7" s="42"/>
    </row>
    <row r="8" spans="2:14" s="1" customFormat="1" x14ac:dyDescent="0.3">
      <c r="B8" s="270" t="s">
        <v>627</v>
      </c>
      <c r="C8" s="276"/>
      <c r="D8" s="276"/>
      <c r="E8" s="276"/>
      <c r="F8" s="276"/>
      <c r="G8" s="276"/>
      <c r="H8" s="276"/>
      <c r="I8" s="266"/>
      <c r="J8" s="266"/>
      <c r="K8" s="42"/>
      <c r="L8" s="42"/>
      <c r="M8" s="42"/>
      <c r="N8" s="42"/>
    </row>
    <row r="9" spans="2:14" s="1" customFormat="1" x14ac:dyDescent="0.3">
      <c r="B9" s="266"/>
      <c r="C9" s="266"/>
      <c r="D9" s="266"/>
      <c r="E9" s="266"/>
      <c r="F9" s="266"/>
      <c r="G9" s="266"/>
      <c r="H9" s="266"/>
      <c r="I9" s="266"/>
      <c r="J9" s="266"/>
      <c r="K9" s="42"/>
      <c r="L9" s="42"/>
      <c r="M9" s="42"/>
      <c r="N9" s="42"/>
    </row>
    <row r="10" spans="2:14" s="1" customFormat="1" x14ac:dyDescent="0.3">
      <c r="B10" s="1918" t="s">
        <v>38</v>
      </c>
      <c r="C10" s="1920" t="s">
        <v>625</v>
      </c>
      <c r="D10" s="1921"/>
      <c r="E10" s="1922"/>
      <c r="F10" s="1920" t="s">
        <v>624</v>
      </c>
      <c r="G10" s="1921"/>
      <c r="H10" s="1922"/>
      <c r="I10" s="1923" t="s">
        <v>623</v>
      </c>
      <c r="J10" s="1923" t="s">
        <v>622</v>
      </c>
      <c r="K10" s="42"/>
      <c r="L10" s="42"/>
      <c r="M10" s="42"/>
      <c r="N10" s="42"/>
    </row>
    <row r="11" spans="2:14" s="1" customFormat="1" ht="28" x14ac:dyDescent="0.3">
      <c r="B11" s="1919"/>
      <c r="C11" s="275" t="s">
        <v>621</v>
      </c>
      <c r="D11" s="275" t="s">
        <v>618</v>
      </c>
      <c r="E11" s="275" t="s">
        <v>620</v>
      </c>
      <c r="F11" s="275" t="s">
        <v>619</v>
      </c>
      <c r="G11" s="275" t="s">
        <v>618</v>
      </c>
      <c r="H11" s="274" t="s">
        <v>617</v>
      </c>
      <c r="I11" s="1923"/>
      <c r="J11" s="1923"/>
      <c r="K11" s="42"/>
      <c r="L11" s="42"/>
      <c r="M11" s="42"/>
      <c r="N11" s="42"/>
    </row>
    <row r="12" spans="2:14" s="1" customFormat="1" x14ac:dyDescent="0.3">
      <c r="B12" s="273"/>
      <c r="C12" s="272"/>
      <c r="D12" s="272"/>
      <c r="E12" s="272"/>
      <c r="F12" s="272"/>
      <c r="G12" s="272"/>
      <c r="H12" s="271"/>
      <c r="I12" s="271"/>
      <c r="J12" s="271"/>
      <c r="K12" s="42"/>
      <c r="L12" s="42"/>
      <c r="M12" s="42"/>
      <c r="N12" s="42"/>
    </row>
    <row r="13" spans="2:14" s="1" customFormat="1" x14ac:dyDescent="0.3">
      <c r="B13" s="269" t="s">
        <v>616</v>
      </c>
      <c r="C13" s="268"/>
      <c r="D13" s="268"/>
      <c r="E13" s="268"/>
      <c r="F13" s="268"/>
      <c r="G13" s="268"/>
      <c r="H13" s="268"/>
      <c r="I13" s="267"/>
      <c r="J13" s="267"/>
      <c r="K13" s="42"/>
      <c r="L13" s="42"/>
      <c r="M13" s="42"/>
      <c r="N13" s="42"/>
    </row>
    <row r="14" spans="2:14" s="1" customFormat="1" x14ac:dyDescent="0.3">
      <c r="B14" s="269"/>
      <c r="C14" s="268"/>
      <c r="D14" s="268"/>
      <c r="E14" s="268"/>
      <c r="F14" s="268"/>
      <c r="G14" s="268"/>
      <c r="H14" s="268"/>
      <c r="I14" s="267"/>
      <c r="J14" s="267"/>
      <c r="K14" s="42"/>
      <c r="L14" s="42"/>
      <c r="M14" s="42"/>
      <c r="N14" s="42"/>
    </row>
    <row r="15" spans="2:14" s="1" customFormat="1" x14ac:dyDescent="0.3">
      <c r="B15" s="267" t="s">
        <v>615</v>
      </c>
      <c r="C15" s="268"/>
      <c r="D15" s="268"/>
      <c r="E15" s="268"/>
      <c r="F15" s="268"/>
      <c r="G15" s="268"/>
      <c r="H15" s="268"/>
      <c r="I15" s="267"/>
      <c r="J15" s="267"/>
      <c r="K15" s="42"/>
      <c r="L15" s="42"/>
      <c r="M15" s="42"/>
      <c r="N15" s="42"/>
    </row>
    <row r="16" spans="2:14" s="1" customFormat="1" x14ac:dyDescent="0.3">
      <c r="B16" s="267" t="s">
        <v>614</v>
      </c>
      <c r="C16" s="268"/>
      <c r="D16" s="268"/>
      <c r="E16" s="268"/>
      <c r="F16" s="268"/>
      <c r="G16" s="268"/>
      <c r="H16" s="268"/>
      <c r="I16" s="267"/>
      <c r="J16" s="267"/>
      <c r="K16" s="42"/>
      <c r="L16" s="42"/>
      <c r="M16" s="42"/>
      <c r="N16" s="42"/>
    </row>
    <row r="17" spans="2:14" s="1" customFormat="1" x14ac:dyDescent="0.3">
      <c r="B17" s="267" t="s">
        <v>613</v>
      </c>
      <c r="C17" s="268"/>
      <c r="D17" s="268"/>
      <c r="E17" s="268"/>
      <c r="F17" s="268"/>
      <c r="G17" s="268"/>
      <c r="H17" s="268"/>
      <c r="I17" s="267"/>
      <c r="J17" s="267"/>
      <c r="K17" s="42"/>
      <c r="L17" s="42"/>
      <c r="M17" s="42"/>
      <c r="N17" s="42"/>
    </row>
    <row r="18" spans="2:14" s="1" customFormat="1" x14ac:dyDescent="0.3">
      <c r="B18" s="267" t="s">
        <v>608</v>
      </c>
      <c r="C18" s="268"/>
      <c r="D18" s="268"/>
      <c r="E18" s="268"/>
      <c r="F18" s="268"/>
      <c r="G18" s="268"/>
      <c r="H18" s="268"/>
      <c r="I18" s="267"/>
      <c r="J18" s="267"/>
      <c r="K18" s="42"/>
      <c r="L18" s="42"/>
      <c r="M18" s="42"/>
      <c r="N18" s="42"/>
    </row>
    <row r="19" spans="2:14" s="1" customFormat="1" x14ac:dyDescent="0.3">
      <c r="B19" s="269" t="s">
        <v>271</v>
      </c>
      <c r="C19" s="268"/>
      <c r="D19" s="268"/>
      <c r="E19" s="268"/>
      <c r="F19" s="268"/>
      <c r="G19" s="268"/>
      <c r="H19" s="268"/>
      <c r="I19" s="267"/>
      <c r="J19" s="267"/>
      <c r="K19" s="42"/>
      <c r="L19" s="42"/>
      <c r="M19" s="42"/>
      <c r="N19" s="42"/>
    </row>
    <row r="20" spans="2:14" s="1" customFormat="1" x14ac:dyDescent="0.3">
      <c r="B20" s="269"/>
      <c r="C20" s="268"/>
      <c r="D20" s="268"/>
      <c r="E20" s="268"/>
      <c r="F20" s="268"/>
      <c r="G20" s="268"/>
      <c r="H20" s="268"/>
      <c r="I20" s="267"/>
      <c r="J20" s="267"/>
      <c r="K20" s="42"/>
      <c r="L20" s="42"/>
      <c r="M20" s="42"/>
      <c r="N20" s="42"/>
    </row>
    <row r="21" spans="2:14" s="1" customFormat="1" x14ac:dyDescent="0.3">
      <c r="B21" s="269"/>
      <c r="C21" s="268"/>
      <c r="D21" s="268"/>
      <c r="E21" s="268"/>
      <c r="F21" s="268"/>
      <c r="G21" s="268"/>
      <c r="H21" s="268"/>
      <c r="I21" s="267"/>
      <c r="J21" s="267"/>
      <c r="K21" s="42"/>
      <c r="L21" s="42"/>
      <c r="M21" s="42"/>
      <c r="N21" s="42"/>
    </row>
    <row r="22" spans="2:14" s="1" customFormat="1" x14ac:dyDescent="0.3">
      <c r="B22" s="269" t="s">
        <v>612</v>
      </c>
      <c r="C22" s="268"/>
      <c r="D22" s="268"/>
      <c r="E22" s="268"/>
      <c r="F22" s="268"/>
      <c r="G22" s="268"/>
      <c r="H22" s="268"/>
      <c r="I22" s="267"/>
      <c r="J22" s="267"/>
      <c r="K22" s="42"/>
      <c r="L22" s="42"/>
      <c r="M22" s="42"/>
      <c r="N22" s="42"/>
    </row>
    <row r="23" spans="2:14" s="1" customFormat="1" x14ac:dyDescent="0.3">
      <c r="B23" s="267"/>
      <c r="C23" s="268"/>
      <c r="D23" s="268"/>
      <c r="E23" s="268"/>
      <c r="F23" s="268"/>
      <c r="G23" s="268"/>
      <c r="H23" s="268"/>
      <c r="I23" s="267"/>
      <c r="J23" s="267"/>
      <c r="K23" s="42"/>
      <c r="L23" s="42"/>
      <c r="M23" s="42"/>
      <c r="N23" s="42"/>
    </row>
    <row r="24" spans="2:14" s="1" customFormat="1" x14ac:dyDescent="0.3">
      <c r="B24" s="267" t="s">
        <v>611</v>
      </c>
      <c r="C24" s="268"/>
      <c r="D24" s="268"/>
      <c r="E24" s="268"/>
      <c r="F24" s="268"/>
      <c r="G24" s="268"/>
      <c r="H24" s="268"/>
      <c r="I24" s="267"/>
      <c r="J24" s="267"/>
      <c r="K24" s="42"/>
      <c r="L24" s="42"/>
      <c r="M24" s="42"/>
      <c r="N24" s="42"/>
    </row>
    <row r="25" spans="2:14" s="1" customFormat="1" x14ac:dyDescent="0.3">
      <c r="B25" s="267" t="s">
        <v>610</v>
      </c>
      <c r="C25" s="268"/>
      <c r="D25" s="268"/>
      <c r="E25" s="268"/>
      <c r="F25" s="268"/>
      <c r="G25" s="268"/>
      <c r="H25" s="268"/>
      <c r="I25" s="267"/>
      <c r="J25" s="267"/>
      <c r="K25" s="42"/>
      <c r="L25" s="42"/>
      <c r="M25" s="42"/>
      <c r="N25" s="42"/>
    </row>
    <row r="26" spans="2:14" s="1" customFormat="1" x14ac:dyDescent="0.3">
      <c r="B26" s="267" t="s">
        <v>609</v>
      </c>
      <c r="C26" s="268"/>
      <c r="D26" s="268"/>
      <c r="E26" s="268"/>
      <c r="F26" s="268"/>
      <c r="G26" s="268"/>
      <c r="H26" s="268"/>
      <c r="I26" s="267"/>
      <c r="J26" s="267"/>
      <c r="K26" s="42"/>
      <c r="L26" s="42"/>
      <c r="M26" s="42"/>
      <c r="N26" s="42"/>
    </row>
    <row r="27" spans="2:14" s="1" customFormat="1" x14ac:dyDescent="0.3">
      <c r="B27" s="267" t="s">
        <v>608</v>
      </c>
      <c r="C27" s="268"/>
      <c r="D27" s="268"/>
      <c r="E27" s="268"/>
      <c r="F27" s="268"/>
      <c r="G27" s="268"/>
      <c r="H27" s="268"/>
      <c r="I27" s="267"/>
      <c r="J27" s="267"/>
      <c r="K27" s="42"/>
      <c r="L27" s="42"/>
      <c r="M27" s="42"/>
      <c r="N27" s="42"/>
    </row>
    <row r="28" spans="2:14" s="1" customFormat="1" x14ac:dyDescent="0.3">
      <c r="B28" s="269" t="s">
        <v>271</v>
      </c>
      <c r="C28" s="268"/>
      <c r="D28" s="268"/>
      <c r="E28" s="268"/>
      <c r="F28" s="268"/>
      <c r="G28" s="268"/>
      <c r="H28" s="268"/>
      <c r="I28" s="267"/>
      <c r="J28" s="267"/>
      <c r="K28" s="42"/>
      <c r="L28" s="42"/>
      <c r="M28" s="42"/>
      <c r="N28" s="42"/>
    </row>
    <row r="29" spans="2:14" s="1" customFormat="1" x14ac:dyDescent="0.3">
      <c r="B29" s="269"/>
      <c r="C29" s="268"/>
      <c r="D29" s="268"/>
      <c r="E29" s="268"/>
      <c r="F29" s="268"/>
      <c r="G29" s="268"/>
      <c r="H29" s="268"/>
      <c r="I29" s="267"/>
      <c r="J29" s="267"/>
      <c r="K29" s="42"/>
      <c r="L29" s="42"/>
      <c r="M29" s="42"/>
      <c r="N29" s="42"/>
    </row>
    <row r="30" spans="2:14" s="1" customFormat="1" x14ac:dyDescent="0.3">
      <c r="B30" s="269" t="s">
        <v>628</v>
      </c>
      <c r="C30" s="268"/>
      <c r="D30" s="268"/>
      <c r="E30" s="268"/>
      <c r="F30" s="268"/>
      <c r="G30" s="268"/>
      <c r="H30" s="268"/>
      <c r="I30" s="267"/>
      <c r="J30" s="267"/>
      <c r="K30" s="42"/>
      <c r="L30" s="42"/>
      <c r="M30" s="42"/>
      <c r="N30" s="42"/>
    </row>
    <row r="31" spans="2:14" s="1" customFormat="1" x14ac:dyDescent="0.3">
      <c r="B31" s="267"/>
      <c r="C31" s="268"/>
      <c r="D31" s="268"/>
      <c r="E31" s="268"/>
      <c r="F31" s="268"/>
      <c r="G31" s="268"/>
      <c r="H31" s="268"/>
      <c r="I31" s="267"/>
      <c r="J31" s="267"/>
      <c r="K31" s="42"/>
      <c r="L31" s="42"/>
      <c r="M31" s="42"/>
      <c r="N31" s="42"/>
    </row>
    <row r="32" spans="2:14" s="1" customFormat="1" x14ac:dyDescent="0.3">
      <c r="B32" s="267" t="s">
        <v>629</v>
      </c>
      <c r="C32" s="268"/>
      <c r="D32" s="268"/>
      <c r="E32" s="268"/>
      <c r="F32" s="268"/>
      <c r="G32" s="268"/>
      <c r="H32" s="268"/>
      <c r="I32" s="267"/>
      <c r="J32" s="267"/>
      <c r="K32" s="42"/>
      <c r="L32" s="42"/>
      <c r="M32" s="42"/>
      <c r="N32" s="42"/>
    </row>
    <row r="33" spans="2:21" s="1" customFormat="1" x14ac:dyDescent="0.3">
      <c r="B33" s="267" t="s">
        <v>630</v>
      </c>
      <c r="C33" s="268"/>
      <c r="D33" s="268"/>
      <c r="E33" s="268"/>
      <c r="F33" s="268"/>
      <c r="G33" s="268"/>
      <c r="H33" s="268"/>
      <c r="I33" s="267"/>
      <c r="J33" s="267"/>
      <c r="K33" s="42"/>
      <c r="L33" s="42"/>
      <c r="M33" s="42"/>
      <c r="N33" s="42"/>
    </row>
    <row r="34" spans="2:21" s="1" customFormat="1" x14ac:dyDescent="0.3">
      <c r="B34" s="267" t="s">
        <v>631</v>
      </c>
      <c r="C34" s="268"/>
      <c r="D34" s="268"/>
      <c r="E34" s="268"/>
      <c r="F34" s="268"/>
      <c r="G34" s="268"/>
      <c r="H34" s="268"/>
      <c r="I34" s="267"/>
      <c r="J34" s="267"/>
      <c r="K34" s="42"/>
      <c r="L34" s="42"/>
      <c r="M34" s="42"/>
      <c r="N34" s="42"/>
    </row>
    <row r="35" spans="2:21" s="1" customFormat="1" x14ac:dyDescent="0.3">
      <c r="B35" s="267" t="s">
        <v>608</v>
      </c>
      <c r="C35" s="268"/>
      <c r="D35" s="268"/>
      <c r="E35" s="268"/>
      <c r="F35" s="268"/>
      <c r="G35" s="268"/>
      <c r="H35" s="268"/>
      <c r="I35" s="267"/>
      <c r="J35" s="267"/>
      <c r="K35" s="42"/>
      <c r="L35" s="42"/>
      <c r="M35" s="42"/>
      <c r="N35" s="42"/>
    </row>
    <row r="36" spans="2:21" s="1" customFormat="1" x14ac:dyDescent="0.3">
      <c r="B36" s="269" t="s">
        <v>271</v>
      </c>
      <c r="C36" s="268"/>
      <c r="D36" s="268"/>
      <c r="E36" s="268"/>
      <c r="F36" s="268"/>
      <c r="G36" s="268"/>
      <c r="H36" s="268"/>
      <c r="I36" s="267"/>
      <c r="J36" s="267"/>
      <c r="K36" s="42"/>
      <c r="L36" s="42"/>
      <c r="M36" s="42"/>
      <c r="N36" s="42"/>
    </row>
    <row r="37" spans="2:21" s="1" customFormat="1" x14ac:dyDescent="0.3">
      <c r="B37" s="270"/>
      <c r="C37" s="276"/>
      <c r="D37" s="276"/>
      <c r="E37" s="276"/>
      <c r="F37" s="276"/>
      <c r="G37" s="276"/>
      <c r="H37" s="276"/>
      <c r="I37" s="266"/>
      <c r="J37" s="266"/>
      <c r="K37" s="42"/>
      <c r="L37" s="42"/>
      <c r="M37" s="42"/>
      <c r="N37" s="42"/>
    </row>
    <row r="38" spans="2:21" s="1" customFormat="1" x14ac:dyDescent="0.3">
      <c r="B38" s="125"/>
      <c r="C38" s="125"/>
      <c r="D38" s="125"/>
      <c r="E38" s="125"/>
      <c r="F38" s="125"/>
      <c r="G38" s="125"/>
      <c r="H38" s="125"/>
      <c r="I38" s="125"/>
      <c r="J38" s="42"/>
      <c r="K38" s="42"/>
      <c r="L38" s="42"/>
      <c r="M38" s="42"/>
      <c r="N38" s="42"/>
    </row>
    <row r="39" spans="2:21" s="266" customFormat="1" x14ac:dyDescent="0.25">
      <c r="B39" s="277" t="s">
        <v>1085</v>
      </c>
      <c r="C39" s="276"/>
      <c r="D39" s="276"/>
      <c r="E39" s="276"/>
      <c r="F39" s="276"/>
      <c r="G39" s="276"/>
      <c r="H39" s="276"/>
    </row>
    <row r="40" spans="2:21" s="266" customFormat="1" x14ac:dyDescent="0.25">
      <c r="B40" s="277"/>
      <c r="C40" s="276"/>
      <c r="D40" s="276"/>
      <c r="E40" s="276"/>
      <c r="F40" s="276"/>
      <c r="G40" s="276"/>
      <c r="H40" s="276"/>
    </row>
    <row r="41" spans="2:21" s="266" customFormat="1" x14ac:dyDescent="0.25">
      <c r="B41" s="270" t="s">
        <v>627</v>
      </c>
      <c r="C41" s="276"/>
      <c r="D41" s="276"/>
      <c r="E41" s="276"/>
      <c r="F41" s="276"/>
      <c r="G41" s="276"/>
      <c r="H41" s="276"/>
    </row>
    <row r="42" spans="2:21" s="266" customFormat="1" x14ac:dyDescent="0.25"/>
    <row r="43" spans="2:21" s="266" customFormat="1" x14ac:dyDescent="0.25">
      <c r="B43" s="1918" t="s">
        <v>38</v>
      </c>
      <c r="C43" s="1920" t="s">
        <v>625</v>
      </c>
      <c r="D43" s="1921"/>
      <c r="E43" s="1922"/>
      <c r="F43" s="1920" t="s">
        <v>624</v>
      </c>
      <c r="G43" s="1921"/>
      <c r="H43" s="1922"/>
      <c r="I43" s="1923" t="s">
        <v>623</v>
      </c>
      <c r="J43" s="1923" t="s">
        <v>622</v>
      </c>
    </row>
    <row r="44" spans="2:21" s="266" customFormat="1" ht="28" x14ac:dyDescent="0.25">
      <c r="B44" s="1919"/>
      <c r="C44" s="275" t="s">
        <v>621</v>
      </c>
      <c r="D44" s="275" t="s">
        <v>618</v>
      </c>
      <c r="E44" s="275" t="s">
        <v>620</v>
      </c>
      <c r="F44" s="275" t="s">
        <v>619</v>
      </c>
      <c r="G44" s="275" t="s">
        <v>618</v>
      </c>
      <c r="H44" s="274" t="s">
        <v>617</v>
      </c>
      <c r="I44" s="1923"/>
      <c r="J44" s="1923"/>
    </row>
    <row r="45" spans="2:21" s="266" customFormat="1" x14ac:dyDescent="0.25">
      <c r="B45" s="273"/>
      <c r="C45" s="272"/>
      <c r="D45" s="272"/>
      <c r="E45" s="272"/>
      <c r="F45" s="272"/>
      <c r="G45" s="272"/>
      <c r="H45" s="271"/>
      <c r="I45" s="271"/>
      <c r="J45" s="271"/>
    </row>
    <row r="46" spans="2:21" s="270" customFormat="1" x14ac:dyDescent="0.25">
      <c r="B46" s="269" t="s">
        <v>616</v>
      </c>
      <c r="C46" s="268"/>
      <c r="D46" s="268"/>
      <c r="E46" s="268"/>
      <c r="F46" s="268"/>
      <c r="G46" s="268"/>
      <c r="H46" s="268"/>
      <c r="I46" s="267"/>
      <c r="J46" s="267"/>
      <c r="K46" s="266"/>
      <c r="L46" s="266"/>
      <c r="M46" s="266"/>
      <c r="N46" s="266"/>
      <c r="O46" s="266"/>
      <c r="P46" s="266"/>
      <c r="Q46" s="266"/>
      <c r="R46" s="266"/>
      <c r="S46" s="266"/>
      <c r="T46" s="266"/>
      <c r="U46" s="266"/>
    </row>
    <row r="47" spans="2:21" s="270" customFormat="1" x14ac:dyDescent="0.25">
      <c r="B47" s="269"/>
      <c r="C47" s="268"/>
      <c r="D47" s="268"/>
      <c r="E47" s="268"/>
      <c r="F47" s="268"/>
      <c r="G47" s="268"/>
      <c r="H47" s="268"/>
      <c r="I47" s="267"/>
      <c r="J47" s="267"/>
      <c r="K47" s="266"/>
      <c r="L47" s="266"/>
      <c r="M47" s="266"/>
      <c r="N47" s="266"/>
      <c r="O47" s="266"/>
      <c r="P47" s="266"/>
      <c r="Q47" s="266"/>
      <c r="R47" s="266"/>
      <c r="S47" s="266"/>
      <c r="T47" s="266"/>
      <c r="U47" s="266"/>
    </row>
    <row r="48" spans="2:21" s="270" customFormat="1" x14ac:dyDescent="0.25">
      <c r="B48" s="267" t="s">
        <v>615</v>
      </c>
      <c r="C48" s="268"/>
      <c r="D48" s="268"/>
      <c r="E48" s="268"/>
      <c r="F48" s="268"/>
      <c r="G48" s="268"/>
      <c r="H48" s="268"/>
      <c r="I48" s="267"/>
      <c r="J48" s="267"/>
      <c r="K48" s="266"/>
      <c r="L48" s="266"/>
      <c r="M48" s="266"/>
      <c r="N48" s="266"/>
      <c r="O48" s="266"/>
      <c r="P48" s="266"/>
      <c r="Q48" s="266"/>
      <c r="R48" s="266"/>
      <c r="S48" s="266"/>
      <c r="T48" s="266"/>
      <c r="U48" s="266"/>
    </row>
    <row r="49" spans="2:21" s="270" customFormat="1" x14ac:dyDescent="0.25">
      <c r="B49" s="267" t="s">
        <v>614</v>
      </c>
      <c r="C49" s="268"/>
      <c r="D49" s="268"/>
      <c r="E49" s="268"/>
      <c r="F49" s="268"/>
      <c r="G49" s="268"/>
      <c r="H49" s="268"/>
      <c r="I49" s="267"/>
      <c r="J49" s="267"/>
      <c r="K49" s="266"/>
      <c r="L49" s="266"/>
      <c r="M49" s="266"/>
      <c r="N49" s="266"/>
      <c r="O49" s="266"/>
      <c r="P49" s="266"/>
      <c r="Q49" s="266"/>
      <c r="R49" s="266"/>
      <c r="S49" s="266"/>
      <c r="T49" s="266"/>
      <c r="U49" s="266"/>
    </row>
    <row r="50" spans="2:21" s="270" customFormat="1" x14ac:dyDescent="0.25">
      <c r="B50" s="267" t="s">
        <v>613</v>
      </c>
      <c r="C50" s="268"/>
      <c r="D50" s="268"/>
      <c r="E50" s="268"/>
      <c r="F50" s="268"/>
      <c r="G50" s="268"/>
      <c r="H50" s="268"/>
      <c r="I50" s="267"/>
      <c r="J50" s="267"/>
      <c r="K50" s="266"/>
      <c r="L50" s="266"/>
      <c r="M50" s="266"/>
      <c r="N50" s="266"/>
      <c r="O50" s="266"/>
      <c r="P50" s="266"/>
      <c r="Q50" s="266"/>
      <c r="R50" s="266"/>
      <c r="S50" s="266"/>
      <c r="T50" s="266"/>
      <c r="U50" s="266"/>
    </row>
    <row r="51" spans="2:21" s="270" customFormat="1" x14ac:dyDescent="0.25">
      <c r="B51" s="267" t="s">
        <v>608</v>
      </c>
      <c r="C51" s="268"/>
      <c r="D51" s="268"/>
      <c r="E51" s="268"/>
      <c r="F51" s="268"/>
      <c r="G51" s="268"/>
      <c r="H51" s="268"/>
      <c r="I51" s="267"/>
      <c r="J51" s="267"/>
      <c r="K51" s="266"/>
      <c r="L51" s="266"/>
      <c r="M51" s="266"/>
      <c r="N51" s="266"/>
      <c r="O51" s="266"/>
      <c r="P51" s="266"/>
      <c r="Q51" s="266"/>
      <c r="R51" s="266"/>
      <c r="S51" s="266"/>
      <c r="T51" s="266"/>
      <c r="U51" s="266"/>
    </row>
    <row r="52" spans="2:21" s="266" customFormat="1" x14ac:dyDescent="0.25">
      <c r="B52" s="269" t="s">
        <v>271</v>
      </c>
      <c r="C52" s="268"/>
      <c r="D52" s="268"/>
      <c r="E52" s="268"/>
      <c r="F52" s="268"/>
      <c r="G52" s="268"/>
      <c r="H52" s="268"/>
      <c r="I52" s="267"/>
      <c r="J52" s="267"/>
    </row>
    <row r="53" spans="2:21" s="266" customFormat="1" x14ac:dyDescent="0.25">
      <c r="B53" s="269"/>
      <c r="C53" s="268"/>
      <c r="D53" s="268"/>
      <c r="E53" s="268"/>
      <c r="F53" s="268"/>
      <c r="G53" s="268"/>
      <c r="H53" s="268"/>
      <c r="I53" s="267"/>
      <c r="J53" s="267"/>
    </row>
    <row r="54" spans="2:21" s="266" customFormat="1" x14ac:dyDescent="0.25">
      <c r="B54" s="269"/>
      <c r="C54" s="268"/>
      <c r="D54" s="268"/>
      <c r="E54" s="268"/>
      <c r="F54" s="268"/>
      <c r="G54" s="268"/>
      <c r="H54" s="268"/>
      <c r="I54" s="267"/>
      <c r="J54" s="267"/>
    </row>
    <row r="55" spans="2:21" s="270" customFormat="1" x14ac:dyDescent="0.25">
      <c r="B55" s="269" t="s">
        <v>612</v>
      </c>
      <c r="C55" s="268"/>
      <c r="D55" s="268"/>
      <c r="E55" s="268"/>
      <c r="F55" s="268"/>
      <c r="G55" s="268"/>
      <c r="H55" s="268"/>
      <c r="I55" s="267"/>
      <c r="J55" s="267"/>
      <c r="K55" s="266"/>
      <c r="L55" s="266"/>
      <c r="M55" s="266"/>
      <c r="N55" s="266"/>
      <c r="O55" s="266"/>
      <c r="P55" s="266"/>
      <c r="Q55" s="266"/>
      <c r="R55" s="266"/>
      <c r="S55" s="266"/>
      <c r="T55" s="266"/>
      <c r="U55" s="266"/>
    </row>
    <row r="56" spans="2:21" s="266" customFormat="1" x14ac:dyDescent="0.25">
      <c r="B56" s="267"/>
      <c r="C56" s="268"/>
      <c r="D56" s="268"/>
      <c r="E56" s="268"/>
      <c r="F56" s="268"/>
      <c r="G56" s="268"/>
      <c r="H56" s="268"/>
      <c r="I56" s="267"/>
      <c r="J56" s="267"/>
    </row>
    <row r="57" spans="2:21" s="266" customFormat="1" x14ac:dyDescent="0.25">
      <c r="B57" s="267" t="s">
        <v>611</v>
      </c>
      <c r="C57" s="268"/>
      <c r="D57" s="268"/>
      <c r="E57" s="268"/>
      <c r="F57" s="268"/>
      <c r="G57" s="268"/>
      <c r="H57" s="268"/>
      <c r="I57" s="267"/>
      <c r="J57" s="267"/>
    </row>
    <row r="58" spans="2:21" s="266" customFormat="1" x14ac:dyDescent="0.25">
      <c r="B58" s="267" t="s">
        <v>610</v>
      </c>
      <c r="C58" s="268"/>
      <c r="D58" s="268"/>
      <c r="E58" s="268"/>
      <c r="F58" s="268"/>
      <c r="G58" s="268"/>
      <c r="H58" s="268"/>
      <c r="I58" s="267"/>
      <c r="J58" s="267"/>
    </row>
    <row r="59" spans="2:21" s="266" customFormat="1" x14ac:dyDescent="0.25">
      <c r="B59" s="267" t="s">
        <v>609</v>
      </c>
      <c r="C59" s="268"/>
      <c r="D59" s="268"/>
      <c r="E59" s="268"/>
      <c r="F59" s="268"/>
      <c r="G59" s="268"/>
      <c r="H59" s="268"/>
      <c r="I59" s="267"/>
      <c r="J59" s="267"/>
    </row>
    <row r="60" spans="2:21" s="266" customFormat="1" x14ac:dyDescent="0.25">
      <c r="B60" s="267" t="s">
        <v>608</v>
      </c>
      <c r="C60" s="268"/>
      <c r="D60" s="268"/>
      <c r="E60" s="268"/>
      <c r="F60" s="268"/>
      <c r="G60" s="268"/>
      <c r="H60" s="268"/>
      <c r="I60" s="267"/>
      <c r="J60" s="267"/>
    </row>
    <row r="61" spans="2:21" s="266" customFormat="1" x14ac:dyDescent="0.25">
      <c r="B61" s="269" t="s">
        <v>271</v>
      </c>
      <c r="C61" s="268"/>
      <c r="D61" s="268"/>
      <c r="E61" s="268"/>
      <c r="F61" s="268"/>
      <c r="G61" s="268"/>
      <c r="H61" s="268"/>
      <c r="I61" s="267"/>
      <c r="J61" s="267"/>
    </row>
    <row r="62" spans="2:21" s="266" customFormat="1" x14ac:dyDescent="0.25">
      <c r="B62" s="269"/>
      <c r="C62" s="268"/>
      <c r="D62" s="268"/>
      <c r="E62" s="268"/>
      <c r="F62" s="268"/>
      <c r="G62" s="268"/>
      <c r="H62" s="268"/>
      <c r="I62" s="267"/>
      <c r="J62" s="267"/>
    </row>
    <row r="63" spans="2:21" s="266" customFormat="1" x14ac:dyDescent="0.25">
      <c r="B63" s="269" t="s">
        <v>628</v>
      </c>
      <c r="C63" s="268"/>
      <c r="D63" s="268"/>
      <c r="E63" s="268"/>
      <c r="F63" s="268"/>
      <c r="G63" s="268"/>
      <c r="H63" s="268"/>
      <c r="I63" s="267"/>
      <c r="J63" s="267"/>
    </row>
    <row r="64" spans="2:21" x14ac:dyDescent="0.25">
      <c r="B64" s="267"/>
      <c r="C64" s="268"/>
      <c r="D64" s="268"/>
      <c r="E64" s="268"/>
      <c r="F64" s="268"/>
      <c r="G64" s="268"/>
      <c r="H64" s="268"/>
      <c r="I64" s="267"/>
      <c r="J64" s="267"/>
    </row>
    <row r="65" spans="2:10" x14ac:dyDescent="0.25">
      <c r="B65" s="267" t="s">
        <v>629</v>
      </c>
      <c r="C65" s="268"/>
      <c r="D65" s="268"/>
      <c r="E65" s="268"/>
      <c r="F65" s="268"/>
      <c r="G65" s="268"/>
      <c r="H65" s="268"/>
      <c r="I65" s="267"/>
      <c r="J65" s="267"/>
    </row>
    <row r="66" spans="2:10" x14ac:dyDescent="0.25">
      <c r="B66" s="267" t="s">
        <v>630</v>
      </c>
      <c r="C66" s="268"/>
      <c r="D66" s="268"/>
      <c r="E66" s="268"/>
      <c r="F66" s="268"/>
      <c r="G66" s="268"/>
      <c r="H66" s="268"/>
      <c r="I66" s="267"/>
      <c r="J66" s="267"/>
    </row>
    <row r="67" spans="2:10" x14ac:dyDescent="0.25">
      <c r="B67" s="267" t="s">
        <v>631</v>
      </c>
      <c r="C67" s="268"/>
      <c r="D67" s="268"/>
      <c r="E67" s="268"/>
      <c r="F67" s="268"/>
      <c r="G67" s="268"/>
      <c r="H67" s="268"/>
      <c r="I67" s="267"/>
      <c r="J67" s="267"/>
    </row>
    <row r="68" spans="2:10" ht="14.4" customHeight="1" x14ac:dyDescent="0.25">
      <c r="B68" s="267" t="s">
        <v>608</v>
      </c>
      <c r="C68" s="268"/>
      <c r="D68" s="268"/>
      <c r="E68" s="268"/>
      <c r="F68" s="268"/>
      <c r="G68" s="268"/>
      <c r="H68" s="268"/>
      <c r="I68" s="267"/>
      <c r="J68" s="267"/>
    </row>
    <row r="69" spans="2:10" x14ac:dyDescent="0.25">
      <c r="B69" s="269" t="s">
        <v>271</v>
      </c>
      <c r="C69" s="268"/>
      <c r="D69" s="268"/>
      <c r="E69" s="268"/>
      <c r="F69" s="268"/>
      <c r="G69" s="268"/>
      <c r="H69" s="268"/>
      <c r="I69" s="267"/>
      <c r="J69" s="267"/>
    </row>
  </sheetData>
  <mergeCells count="10">
    <mergeCell ref="B43:B44"/>
    <mergeCell ref="C43:E43"/>
    <mergeCell ref="F43:H43"/>
    <mergeCell ref="I43:I44"/>
    <mergeCell ref="J43:J44"/>
    <mergeCell ref="B10:B11"/>
    <mergeCell ref="C10:E10"/>
    <mergeCell ref="F10:H10"/>
    <mergeCell ref="I10:I11"/>
    <mergeCell ref="J10:J11"/>
  </mergeCells>
  <pageMargins left="0.75" right="0.75" top="1" bottom="1" header="0.5" footer="0.5"/>
  <pageSetup paperSize="9" scale="45"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L29"/>
  <sheetViews>
    <sheetView showGridLines="0" view="pageBreakPreview" zoomScale="70" zoomScaleNormal="75" zoomScaleSheetLayoutView="70" workbookViewId="0">
      <selection activeCell="K22" sqref="K22"/>
    </sheetView>
  </sheetViews>
  <sheetFormatPr defaultColWidth="9.08984375" defaultRowHeight="14" x14ac:dyDescent="0.3"/>
  <cols>
    <col min="1" max="1" width="3.08984375" style="1" customWidth="1"/>
    <col min="2" max="2" width="8" style="1" customWidth="1"/>
    <col min="3" max="4" width="12.6328125" style="1" customWidth="1"/>
    <col min="5" max="5" width="24" style="1" customWidth="1"/>
    <col min="6" max="6" width="18.453125" style="1" customWidth="1"/>
    <col min="7" max="7" width="18" style="1" customWidth="1"/>
    <col min="8" max="12" width="15.6328125" style="1" customWidth="1"/>
    <col min="13" max="16384" width="9.08984375" style="1"/>
  </cols>
  <sheetData>
    <row r="2" spans="2:12" ht="14.15" customHeight="1" x14ac:dyDescent="0.3">
      <c r="B2" s="1598" t="s">
        <v>779</v>
      </c>
      <c r="C2" s="1598"/>
      <c r="D2" s="1598"/>
      <c r="E2" s="1926"/>
      <c r="F2" s="1926"/>
      <c r="G2" s="1926"/>
      <c r="H2" s="1926"/>
      <c r="I2" s="1926"/>
      <c r="J2" s="1926"/>
      <c r="K2" s="1926"/>
      <c r="L2" s="1926"/>
    </row>
    <row r="3" spans="2:12" ht="14.15" customHeight="1" x14ac:dyDescent="0.3">
      <c r="B3" s="1868" t="s">
        <v>1191</v>
      </c>
      <c r="C3" s="1868"/>
      <c r="D3" s="1868"/>
      <c r="E3" s="1926"/>
      <c r="F3" s="1926"/>
      <c r="G3" s="1926"/>
      <c r="H3" s="1926"/>
      <c r="I3" s="1926"/>
      <c r="J3" s="1926"/>
      <c r="K3" s="1926"/>
      <c r="L3" s="1926"/>
    </row>
    <row r="4" spans="2:12" ht="14.15" customHeight="1" x14ac:dyDescent="0.3">
      <c r="B4" s="1868" t="s">
        <v>1190</v>
      </c>
      <c r="C4" s="1868"/>
      <c r="D4" s="1868"/>
      <c r="E4" s="1926"/>
      <c r="F4" s="1926"/>
      <c r="G4" s="1926"/>
      <c r="H4" s="1926"/>
      <c r="I4" s="1926"/>
      <c r="J4" s="1926"/>
      <c r="K4" s="1926"/>
      <c r="L4" s="1926"/>
    </row>
    <row r="5" spans="2:12" ht="14.15" customHeight="1" x14ac:dyDescent="0.3">
      <c r="B5" s="1598" t="str">
        <f>Index!B3</f>
        <v>MYT Petition Formats for Bhusawal Unit 3</v>
      </c>
      <c r="C5" s="1598"/>
      <c r="D5" s="1598"/>
      <c r="E5" s="1926"/>
      <c r="F5" s="1926"/>
      <c r="G5" s="1926"/>
      <c r="H5" s="1926"/>
      <c r="I5" s="1926"/>
      <c r="J5" s="1926"/>
      <c r="K5" s="1926"/>
      <c r="L5" s="1926"/>
    </row>
    <row r="6" spans="2:12" x14ac:dyDescent="0.3">
      <c r="B6" s="802"/>
      <c r="C6" s="802"/>
      <c r="D6" s="802"/>
      <c r="E6" s="844"/>
      <c r="F6" s="844"/>
      <c r="G6" s="844"/>
    </row>
    <row r="7" spans="2:12" ht="14.15" customHeight="1" x14ac:dyDescent="0.3">
      <c r="B7" s="1639" t="s">
        <v>340</v>
      </c>
      <c r="C7" s="1639" t="s">
        <v>1189</v>
      </c>
      <c r="D7" s="1645" t="s">
        <v>1188</v>
      </c>
      <c r="E7" s="1641" t="s">
        <v>1187</v>
      </c>
      <c r="F7" s="1647" t="s">
        <v>1186</v>
      </c>
      <c r="G7" s="1645" t="s">
        <v>1185</v>
      </c>
      <c r="H7" s="1593" t="s">
        <v>1184</v>
      </c>
      <c r="I7" s="1593"/>
      <c r="J7" s="1593"/>
      <c r="K7" s="1593"/>
      <c r="L7" s="1593"/>
    </row>
    <row r="8" spans="2:12" s="124" customFormat="1" ht="44.25" customHeight="1" x14ac:dyDescent="0.25">
      <c r="B8" s="1639"/>
      <c r="C8" s="1639"/>
      <c r="D8" s="1747"/>
      <c r="E8" s="1641"/>
      <c r="F8" s="1925"/>
      <c r="G8" s="1925"/>
      <c r="H8" s="797" t="s">
        <v>1067</v>
      </c>
      <c r="I8" s="796" t="s">
        <v>1068</v>
      </c>
      <c r="J8" s="796" t="s">
        <v>1069</v>
      </c>
      <c r="K8" s="796" t="s">
        <v>1070</v>
      </c>
      <c r="L8" s="796" t="s">
        <v>1071</v>
      </c>
    </row>
    <row r="9" spans="2:12" s="124" customFormat="1" ht="14.15" customHeight="1" x14ac:dyDescent="0.25">
      <c r="B9" s="1924"/>
      <c r="C9" s="1924"/>
      <c r="D9" s="1646"/>
      <c r="E9" s="1927"/>
      <c r="F9" s="1648"/>
      <c r="G9" s="1648"/>
      <c r="H9" s="797" t="s">
        <v>21</v>
      </c>
      <c r="I9" s="796" t="s">
        <v>21</v>
      </c>
      <c r="J9" s="796" t="s">
        <v>21</v>
      </c>
      <c r="K9" s="796" t="s">
        <v>21</v>
      </c>
      <c r="L9" s="796" t="s">
        <v>21</v>
      </c>
    </row>
    <row r="10" spans="2:12" s="124" customFormat="1" x14ac:dyDescent="0.25">
      <c r="B10" s="843"/>
      <c r="C10" s="843"/>
      <c r="D10" s="843"/>
      <c r="E10" s="842"/>
      <c r="F10" s="842"/>
      <c r="G10" s="842"/>
      <c r="H10" s="39"/>
      <c r="I10" s="39"/>
      <c r="J10" s="39"/>
      <c r="K10" s="39"/>
      <c r="L10" s="39"/>
    </row>
    <row r="11" spans="2:12" s="42" customFormat="1" x14ac:dyDescent="0.3">
      <c r="B11" s="132">
        <v>1</v>
      </c>
      <c r="C11" s="132" t="s">
        <v>1183</v>
      </c>
      <c r="D11" s="132"/>
      <c r="E11" s="9"/>
      <c r="F11" s="9"/>
      <c r="G11" s="9"/>
      <c r="H11" s="39"/>
      <c r="I11" s="39"/>
      <c r="J11" s="39"/>
      <c r="K11" s="39"/>
      <c r="L11" s="39"/>
    </row>
    <row r="12" spans="2:12" s="42" customFormat="1" x14ac:dyDescent="0.3">
      <c r="B12" s="841"/>
      <c r="C12" s="840" t="s">
        <v>1182</v>
      </c>
      <c r="D12" s="840"/>
      <c r="E12" s="433"/>
      <c r="F12" s="433"/>
      <c r="G12" s="433"/>
      <c r="H12" s="839"/>
      <c r="I12" s="839"/>
      <c r="J12" s="839"/>
      <c r="K12" s="839"/>
      <c r="L12" s="839"/>
    </row>
    <row r="13" spans="2:12" s="42" customFormat="1" x14ac:dyDescent="0.3">
      <c r="B13" s="40"/>
      <c r="C13" s="838" t="s">
        <v>1181</v>
      </c>
      <c r="D13" s="838"/>
      <c r="E13" s="837"/>
      <c r="F13" s="837"/>
      <c r="G13" s="837"/>
      <c r="H13" s="39"/>
      <c r="I13" s="39"/>
      <c r="J13" s="39"/>
      <c r="K13" s="39"/>
      <c r="L13" s="39"/>
    </row>
    <row r="14" spans="2:12" s="42" customFormat="1" x14ac:dyDescent="0.3">
      <c r="B14" s="836"/>
      <c r="C14" s="836"/>
      <c r="D14" s="836"/>
      <c r="E14" s="433"/>
      <c r="F14" s="433"/>
      <c r="G14" s="433"/>
      <c r="H14" s="40"/>
      <c r="I14" s="40"/>
      <c r="J14" s="40"/>
      <c r="K14" s="40"/>
      <c r="L14" s="40"/>
    </row>
    <row r="15" spans="2:12" s="42" customFormat="1" x14ac:dyDescent="0.3">
      <c r="B15" s="132">
        <f>B12+1</f>
        <v>1</v>
      </c>
      <c r="C15" s="132"/>
      <c r="D15" s="132"/>
      <c r="E15" s="433"/>
      <c r="F15" s="433"/>
      <c r="G15" s="433"/>
      <c r="H15" s="40"/>
      <c r="I15" s="40"/>
      <c r="J15" s="40"/>
      <c r="K15" s="40"/>
      <c r="L15" s="40"/>
    </row>
    <row r="16" spans="2:12" s="42" customFormat="1" x14ac:dyDescent="0.3">
      <c r="B16" s="132"/>
      <c r="C16" s="132"/>
      <c r="D16" s="132"/>
      <c r="E16" s="433"/>
      <c r="F16" s="433"/>
      <c r="G16" s="433"/>
      <c r="H16" s="40"/>
      <c r="I16" s="40"/>
      <c r="J16" s="40"/>
      <c r="K16" s="40"/>
      <c r="L16" s="40"/>
    </row>
    <row r="17" spans="2:12" s="42" customFormat="1" x14ac:dyDescent="0.3">
      <c r="B17" s="132"/>
      <c r="C17" s="132"/>
      <c r="D17" s="132"/>
      <c r="E17" s="834"/>
      <c r="F17" s="834"/>
      <c r="G17" s="834"/>
      <c r="H17" s="40"/>
      <c r="I17" s="40"/>
      <c r="J17" s="40"/>
      <c r="K17" s="40"/>
      <c r="L17" s="40"/>
    </row>
    <row r="18" spans="2:12" s="42" customFormat="1" x14ac:dyDescent="0.3">
      <c r="B18" s="132"/>
      <c r="C18" s="132"/>
      <c r="D18" s="132"/>
      <c r="E18" s="834"/>
      <c r="F18" s="834"/>
      <c r="G18" s="834"/>
      <c r="H18" s="40"/>
      <c r="I18" s="40"/>
      <c r="J18" s="40"/>
      <c r="K18" s="40"/>
      <c r="L18" s="40"/>
    </row>
    <row r="19" spans="2:12" s="42" customFormat="1" x14ac:dyDescent="0.3">
      <c r="B19" s="132"/>
      <c r="C19" s="132"/>
      <c r="D19" s="132"/>
      <c r="E19" s="834"/>
      <c r="F19" s="834"/>
      <c r="G19" s="834"/>
      <c r="H19" s="40"/>
      <c r="I19" s="40"/>
      <c r="J19" s="40"/>
      <c r="K19" s="40"/>
      <c r="L19" s="40"/>
    </row>
    <row r="20" spans="2:12" s="42" customFormat="1" x14ac:dyDescent="0.3">
      <c r="B20" s="132"/>
      <c r="C20" s="132"/>
      <c r="D20" s="132"/>
      <c r="E20" s="835"/>
      <c r="F20" s="835"/>
      <c r="G20" s="835"/>
      <c r="H20" s="40"/>
      <c r="I20" s="40"/>
      <c r="J20" s="40"/>
      <c r="K20" s="40"/>
      <c r="L20" s="40"/>
    </row>
    <row r="21" spans="2:12" s="42" customFormat="1" x14ac:dyDescent="0.3">
      <c r="B21" s="132"/>
      <c r="C21" s="132"/>
      <c r="D21" s="132"/>
      <c r="E21" s="834"/>
      <c r="F21" s="834"/>
      <c r="G21" s="834"/>
      <c r="H21" s="40"/>
      <c r="I21" s="40"/>
      <c r="J21" s="40"/>
      <c r="K21" s="40"/>
      <c r="L21" s="40"/>
    </row>
    <row r="22" spans="2:12" x14ac:dyDescent="0.3">
      <c r="E22" s="124"/>
      <c r="F22" s="124"/>
      <c r="G22" s="124"/>
      <c r="H22" s="42"/>
      <c r="I22" s="42"/>
      <c r="J22" s="42"/>
      <c r="K22" s="42"/>
      <c r="L22" s="42"/>
    </row>
    <row r="23" spans="2:12" x14ac:dyDescent="0.3">
      <c r="B23" s="833"/>
      <c r="C23" s="833"/>
      <c r="D23" s="833"/>
      <c r="E23" s="830"/>
      <c r="F23" s="830"/>
      <c r="G23" s="830"/>
      <c r="H23" s="42"/>
      <c r="I23" s="42"/>
      <c r="J23" s="42"/>
      <c r="K23" s="42"/>
      <c r="L23" s="42"/>
    </row>
    <row r="24" spans="2:12" x14ac:dyDescent="0.3">
      <c r="C24" s="42" t="s">
        <v>145</v>
      </c>
      <c r="D24" s="811" t="s">
        <v>1180</v>
      </c>
      <c r="H24" s="42"/>
      <c r="I24" s="42"/>
      <c r="J24" s="42"/>
      <c r="K24" s="42"/>
      <c r="L24" s="42"/>
    </row>
    <row r="25" spans="2:12" ht="18" customHeight="1" x14ac:dyDescent="0.3">
      <c r="E25" s="832"/>
      <c r="F25" s="832"/>
      <c r="G25" s="832"/>
    </row>
    <row r="26" spans="2:12" x14ac:dyDescent="0.3">
      <c r="B26" s="830"/>
      <c r="C26" s="830"/>
      <c r="D26" s="830"/>
      <c r="E26" s="830"/>
      <c r="F26" s="830"/>
      <c r="G26" s="830"/>
    </row>
    <row r="27" spans="2:12" x14ac:dyDescent="0.3">
      <c r="B27" s="830"/>
      <c r="C27" s="830"/>
      <c r="D27" s="830"/>
      <c r="E27" s="830"/>
      <c r="F27" s="830"/>
      <c r="G27" s="830"/>
    </row>
    <row r="28" spans="2:12" x14ac:dyDescent="0.3">
      <c r="B28" s="830"/>
      <c r="C28" s="830"/>
      <c r="D28" s="830"/>
      <c r="E28" s="830"/>
      <c r="F28" s="830"/>
      <c r="G28" s="830"/>
    </row>
    <row r="29" spans="2:12" ht="29.4" customHeight="1" x14ac:dyDescent="0.3">
      <c r="B29" s="830"/>
      <c r="C29" s="831"/>
      <c r="D29" s="830"/>
      <c r="E29" s="830"/>
      <c r="F29" s="830"/>
      <c r="G29" s="830"/>
    </row>
  </sheetData>
  <mergeCells count="11">
    <mergeCell ref="C7:C9"/>
    <mergeCell ref="F7:F9"/>
    <mergeCell ref="G7:G9"/>
    <mergeCell ref="D7:D9"/>
    <mergeCell ref="B2:L2"/>
    <mergeCell ref="B3:L3"/>
    <mergeCell ref="B4:L4"/>
    <mergeCell ref="B5:L5"/>
    <mergeCell ref="B7:B9"/>
    <mergeCell ref="E7:E9"/>
    <mergeCell ref="H7:L7"/>
  </mergeCells>
  <pageMargins left="0.75" right="0.75" top="1" bottom="1" header="0.5" footer="0.5"/>
  <pageSetup paperSize="9" scale="6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H29"/>
  <sheetViews>
    <sheetView workbookViewId="0">
      <selection activeCell="B5" sqref="B5"/>
    </sheetView>
  </sheetViews>
  <sheetFormatPr defaultColWidth="8.90625" defaultRowHeight="12.5" x14ac:dyDescent="0.25"/>
  <cols>
    <col min="1" max="2" width="8.90625" style="819"/>
    <col min="3" max="3" width="36.36328125" style="819" customWidth="1"/>
    <col min="4" max="4" width="8.90625" style="819"/>
    <col min="5" max="7" width="12.08984375" style="819" customWidth="1"/>
    <col min="8" max="16384" width="8.90625" style="819"/>
  </cols>
  <sheetData>
    <row r="2" spans="1:8" ht="14" x14ac:dyDescent="0.3">
      <c r="A2" s="1"/>
      <c r="B2" s="1868" t="s">
        <v>779</v>
      </c>
      <c r="C2" s="1926"/>
      <c r="D2" s="1926"/>
      <c r="E2" s="1926"/>
      <c r="F2" s="1926"/>
      <c r="G2" s="1926"/>
      <c r="H2" s="1926"/>
    </row>
    <row r="3" spans="1:8" ht="14" x14ac:dyDescent="0.3">
      <c r="A3" s="1"/>
      <c r="B3" s="1868" t="s">
        <v>1165</v>
      </c>
      <c r="C3" s="1926"/>
      <c r="D3" s="1926"/>
      <c r="E3" s="1926"/>
      <c r="F3" s="1926"/>
      <c r="G3" s="1926"/>
      <c r="H3" s="1926"/>
    </row>
    <row r="4" spans="1:8" ht="14" x14ac:dyDescent="0.25">
      <c r="A4" s="14"/>
      <c r="B4" s="1598" t="str">
        <f>Index!B3</f>
        <v>MYT Petition Formats for Bhusawal Unit 3</v>
      </c>
      <c r="C4" s="1926"/>
      <c r="D4" s="1926"/>
      <c r="E4" s="1926"/>
      <c r="F4" s="1926"/>
      <c r="G4" s="1926"/>
      <c r="H4" s="1926"/>
    </row>
    <row r="5" spans="1:8" ht="14" x14ac:dyDescent="0.3">
      <c r="A5" s="14"/>
      <c r="B5" s="14"/>
      <c r="C5" s="8"/>
      <c r="D5" s="820"/>
      <c r="E5" s="820"/>
      <c r="F5" s="820"/>
      <c r="G5" s="16"/>
      <c r="H5" s="14"/>
    </row>
    <row r="6" spans="1:8" ht="14" x14ac:dyDescent="0.3">
      <c r="A6" s="1"/>
      <c r="B6" s="796" t="s">
        <v>340</v>
      </c>
      <c r="C6" s="800" t="s">
        <v>38</v>
      </c>
      <c r="D6" s="800" t="s">
        <v>95</v>
      </c>
      <c r="E6" s="796" t="s">
        <v>505</v>
      </c>
      <c r="F6" s="796" t="s">
        <v>506</v>
      </c>
      <c r="G6" s="796" t="s">
        <v>507</v>
      </c>
      <c r="H6" s="796" t="s">
        <v>28</v>
      </c>
    </row>
    <row r="7" spans="1:8" ht="14" x14ac:dyDescent="0.25">
      <c r="A7" s="124"/>
      <c r="B7" s="39"/>
      <c r="C7" s="137"/>
      <c r="D7" s="139"/>
      <c r="E7" s="139"/>
      <c r="F7" s="139"/>
      <c r="G7" s="37"/>
      <c r="H7" s="37"/>
    </row>
    <row r="8" spans="1:8" ht="14" x14ac:dyDescent="0.25">
      <c r="A8" s="124"/>
      <c r="B8" s="139">
        <v>1</v>
      </c>
      <c r="C8" s="140" t="s">
        <v>1166</v>
      </c>
      <c r="D8" s="139" t="s">
        <v>98</v>
      </c>
      <c r="E8" s="139"/>
      <c r="F8" s="139"/>
      <c r="G8" s="821"/>
      <c r="H8" s="37"/>
    </row>
    <row r="9" spans="1:8" ht="14" x14ac:dyDescent="0.3">
      <c r="B9" s="822">
        <f>B8+1</f>
        <v>2</v>
      </c>
      <c r="C9" s="140" t="s">
        <v>1167</v>
      </c>
      <c r="D9" s="822" t="s">
        <v>100</v>
      </c>
      <c r="E9" s="823"/>
      <c r="F9" s="823"/>
      <c r="G9" s="823"/>
      <c r="H9" s="823"/>
    </row>
    <row r="10" spans="1:8" ht="14" x14ac:dyDescent="0.3">
      <c r="B10" s="822">
        <f t="shared" ref="B10:B20" si="0">B9+1</f>
        <v>3</v>
      </c>
      <c r="C10" s="140" t="s">
        <v>1168</v>
      </c>
      <c r="D10" s="822" t="s">
        <v>100</v>
      </c>
      <c r="E10" s="823"/>
      <c r="F10" s="823"/>
      <c r="G10" s="823"/>
      <c r="H10" s="823"/>
    </row>
    <row r="11" spans="1:8" ht="14" x14ac:dyDescent="0.3">
      <c r="B11" s="822">
        <f t="shared" si="0"/>
        <v>4</v>
      </c>
      <c r="C11" s="140" t="s">
        <v>1169</v>
      </c>
      <c r="D11" s="822" t="s">
        <v>100</v>
      </c>
      <c r="E11" s="823"/>
      <c r="F11" s="823"/>
      <c r="G11" s="823"/>
      <c r="H11" s="823"/>
    </row>
    <row r="12" spans="1:8" ht="14" x14ac:dyDescent="0.3">
      <c r="B12" s="822">
        <f t="shared" si="0"/>
        <v>5</v>
      </c>
      <c r="C12" s="140" t="s">
        <v>1170</v>
      </c>
      <c r="D12" s="824" t="s">
        <v>102</v>
      </c>
      <c r="E12" s="823"/>
      <c r="F12" s="823"/>
      <c r="G12" s="823"/>
      <c r="H12" s="823"/>
    </row>
    <row r="13" spans="1:8" ht="28" x14ac:dyDescent="0.3">
      <c r="B13" s="822">
        <f t="shared" si="0"/>
        <v>6</v>
      </c>
      <c r="C13" s="140" t="s">
        <v>1171</v>
      </c>
      <c r="D13" s="824" t="s">
        <v>102</v>
      </c>
      <c r="E13" s="823"/>
      <c r="F13" s="823"/>
      <c r="G13" s="823"/>
      <c r="H13" s="823"/>
    </row>
    <row r="14" spans="1:8" ht="14" x14ac:dyDescent="0.3">
      <c r="B14" s="822">
        <f t="shared" si="0"/>
        <v>7</v>
      </c>
      <c r="C14" s="140" t="s">
        <v>1172</v>
      </c>
      <c r="D14" s="824" t="s">
        <v>102</v>
      </c>
      <c r="E14" s="823"/>
      <c r="F14" s="823"/>
      <c r="G14" s="823"/>
      <c r="H14" s="823"/>
    </row>
    <row r="15" spans="1:8" ht="14" x14ac:dyDescent="0.3">
      <c r="B15" s="822">
        <f t="shared" si="0"/>
        <v>8</v>
      </c>
      <c r="C15" s="140" t="s">
        <v>1173</v>
      </c>
      <c r="D15" s="824" t="s">
        <v>102</v>
      </c>
      <c r="E15" s="823"/>
      <c r="F15" s="823"/>
      <c r="G15" s="823"/>
      <c r="H15" s="823"/>
    </row>
    <row r="16" spans="1:8" ht="14" x14ac:dyDescent="0.3">
      <c r="B16" s="822">
        <f t="shared" si="0"/>
        <v>9</v>
      </c>
      <c r="C16" s="140" t="s">
        <v>1174</v>
      </c>
      <c r="D16" s="824" t="s">
        <v>102</v>
      </c>
      <c r="E16" s="823"/>
      <c r="F16" s="823"/>
      <c r="G16" s="823"/>
      <c r="H16" s="823"/>
    </row>
    <row r="17" spans="2:8" ht="14" x14ac:dyDescent="0.3">
      <c r="B17" s="822">
        <f t="shared" si="0"/>
        <v>10</v>
      </c>
      <c r="C17" s="140" t="s">
        <v>1175</v>
      </c>
      <c r="D17" s="824" t="s">
        <v>102</v>
      </c>
      <c r="E17" s="823"/>
      <c r="F17" s="823"/>
      <c r="G17" s="823"/>
      <c r="H17" s="823"/>
    </row>
    <row r="18" spans="2:8" ht="14" x14ac:dyDescent="0.3">
      <c r="B18" s="822">
        <f t="shared" si="0"/>
        <v>11</v>
      </c>
      <c r="C18" s="140" t="s">
        <v>1176</v>
      </c>
      <c r="D18" s="824" t="s">
        <v>1177</v>
      </c>
      <c r="E18" s="823"/>
      <c r="F18" s="823"/>
      <c r="G18" s="823"/>
      <c r="H18" s="823"/>
    </row>
    <row r="19" spans="2:8" ht="14" x14ac:dyDescent="0.3">
      <c r="B19" s="822">
        <f t="shared" si="0"/>
        <v>12</v>
      </c>
      <c r="C19" s="140" t="s">
        <v>1178</v>
      </c>
      <c r="D19" s="824" t="s">
        <v>1177</v>
      </c>
      <c r="E19" s="823"/>
      <c r="F19" s="823"/>
      <c r="G19" s="823"/>
      <c r="H19" s="823"/>
    </row>
    <row r="20" spans="2:8" s="828" customFormat="1" ht="14" x14ac:dyDescent="0.3">
      <c r="B20" s="825">
        <f t="shared" si="0"/>
        <v>13</v>
      </c>
      <c r="C20" s="826" t="s">
        <v>1179</v>
      </c>
      <c r="D20" s="825" t="s">
        <v>136</v>
      </c>
      <c r="E20" s="827"/>
      <c r="F20" s="827"/>
      <c r="G20" s="827"/>
      <c r="H20" s="827"/>
    </row>
    <row r="29" spans="2:8" ht="29.4" customHeight="1" x14ac:dyDescent="0.25">
      <c r="C29" s="829"/>
    </row>
  </sheetData>
  <mergeCells count="3">
    <mergeCell ref="B2:H2"/>
    <mergeCell ref="B3:H3"/>
    <mergeCell ref="B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36</vt:i4>
      </vt:variant>
    </vt:vector>
  </HeadingPairs>
  <TitlesOfParts>
    <vt:vector size="85" baseType="lpstr">
      <vt:lpstr>Index</vt:lpstr>
      <vt:lpstr>AFC Reduction and AEC loss</vt:lpstr>
      <vt:lpstr>F1</vt:lpstr>
      <vt:lpstr>F1.1</vt:lpstr>
      <vt:lpstr>F2.1</vt:lpstr>
      <vt:lpstr>F2.2</vt:lpstr>
      <vt:lpstr>F2.3</vt:lpstr>
      <vt:lpstr>F2.4</vt:lpstr>
      <vt:lpstr>F2.5</vt:lpstr>
      <vt:lpstr>F2.6</vt:lpstr>
      <vt:lpstr>F2.7</vt:lpstr>
      <vt:lpstr>F2.8</vt:lpstr>
      <vt:lpstr>F3</vt:lpstr>
      <vt:lpstr>F3.1</vt:lpstr>
      <vt:lpstr>F3.2</vt:lpstr>
      <vt:lpstr>F3.3</vt:lpstr>
      <vt:lpstr>F3.4</vt:lpstr>
      <vt:lpstr>F4</vt:lpstr>
      <vt:lpstr>F4.1</vt:lpstr>
      <vt:lpstr>F4.2</vt:lpstr>
      <vt:lpstr>F4.3</vt:lpstr>
      <vt:lpstr>F5 (T)</vt:lpstr>
      <vt:lpstr>F5</vt:lpstr>
      <vt:lpstr>F5.1 (N)</vt:lpstr>
      <vt:lpstr>F6</vt:lpstr>
      <vt:lpstr>F7</vt:lpstr>
      <vt:lpstr>F8</vt:lpstr>
      <vt:lpstr>F9</vt:lpstr>
      <vt:lpstr>F9.1</vt:lpstr>
      <vt:lpstr>F9.3</vt:lpstr>
      <vt:lpstr>F9.2</vt:lpstr>
      <vt:lpstr>F10</vt:lpstr>
      <vt:lpstr>F11</vt:lpstr>
      <vt:lpstr>F12</vt:lpstr>
      <vt:lpstr>F13</vt:lpstr>
      <vt:lpstr>F14.1</vt:lpstr>
      <vt:lpstr>F14.2</vt:lpstr>
      <vt:lpstr>F14.3</vt:lpstr>
      <vt:lpstr>F14.4</vt:lpstr>
      <vt:lpstr>F14.5</vt:lpstr>
      <vt:lpstr>F14.6</vt:lpstr>
      <vt:lpstr>F14.7</vt:lpstr>
      <vt:lpstr>F14.8</vt:lpstr>
      <vt:lpstr>F14.9</vt:lpstr>
      <vt:lpstr>F15</vt:lpstr>
      <vt:lpstr>F16</vt:lpstr>
      <vt:lpstr>F17</vt:lpstr>
      <vt:lpstr>F18</vt:lpstr>
      <vt:lpstr>F19</vt:lpstr>
      <vt:lpstr>'F1'!Print_Area</vt:lpstr>
      <vt:lpstr>F1.1!Print_Area</vt:lpstr>
      <vt:lpstr>'F11'!Print_Area</vt:lpstr>
      <vt:lpstr>F14.4!Print_Area</vt:lpstr>
      <vt:lpstr>F14.6!Print_Area</vt:lpstr>
      <vt:lpstr>'F17'!Print_Area</vt:lpstr>
      <vt:lpstr>'F18'!Print_Area</vt:lpstr>
      <vt:lpstr>F2.1!Print_Area</vt:lpstr>
      <vt:lpstr>F2.2!Print_Area</vt:lpstr>
      <vt:lpstr>F2.3!Print_Area</vt:lpstr>
      <vt:lpstr>F2.4!Print_Area</vt:lpstr>
      <vt:lpstr>F2.5!Print_Area</vt:lpstr>
      <vt:lpstr>F2.6!Print_Area</vt:lpstr>
      <vt:lpstr>F2.7!Print_Area</vt:lpstr>
      <vt:lpstr>F2.8!Print_Area</vt:lpstr>
      <vt:lpstr>'F3'!Print_Area</vt:lpstr>
      <vt:lpstr>F3.1!Print_Area</vt:lpstr>
      <vt:lpstr>F3.2!Print_Area</vt:lpstr>
      <vt:lpstr>F4.1!Print_Area</vt:lpstr>
      <vt:lpstr>F4.2!Print_Area</vt:lpstr>
      <vt:lpstr>F4.3!Print_Area</vt:lpstr>
      <vt:lpstr>'F5'!Print_Area</vt:lpstr>
      <vt:lpstr>'F5 (T)'!Print_Area</vt:lpstr>
      <vt:lpstr>'F5.1 (N)'!Print_Area</vt:lpstr>
      <vt:lpstr>'F6'!Print_Area</vt:lpstr>
      <vt:lpstr>'F7'!Print_Area</vt:lpstr>
      <vt:lpstr>'F9'!Print_Area</vt:lpstr>
      <vt:lpstr>Index!Print_Area</vt:lpstr>
      <vt:lpstr>F2.1!Print_Titles</vt:lpstr>
      <vt:lpstr>F2.2!Print_Titles</vt:lpstr>
      <vt:lpstr>F2.3!Print_Titles</vt:lpstr>
      <vt:lpstr>F2.4!Print_Titles</vt:lpstr>
      <vt:lpstr>F2.5!Print_Titles</vt:lpstr>
      <vt:lpstr>F4.1!Print_Titles</vt:lpstr>
      <vt:lpstr>F4.2!Print_Titles</vt:lpstr>
      <vt:lpstr>F4.3!Print_Titles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Palaniappan M</dc:creator>
  <cp:lastModifiedBy>A.V. Patkare</cp:lastModifiedBy>
  <cp:lastPrinted>2022-10-27T06:45:42Z</cp:lastPrinted>
  <dcterms:created xsi:type="dcterms:W3CDTF">2004-07-28T05:30:50Z</dcterms:created>
  <dcterms:modified xsi:type="dcterms:W3CDTF">2024-12-06T05:35:06Z</dcterms:modified>
</cp:coreProperties>
</file>